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35" windowHeight="8610" activeTab="0"/>
  </bookViews>
  <sheets>
    <sheet name="Setup" sheetId="1" r:id="rId1"/>
    <sheet name="AllApt" sheetId="2" r:id="rId2"/>
    <sheet name="HouseMinPay" sheetId="3" r:id="rId3"/>
    <sheet name="HouseMaxPay" sheetId="4" r:id="rId4"/>
    <sheet name="MinPayGraph" sheetId="5" r:id="rId5"/>
  </sheets>
  <definedNames>
    <definedName name="Collage">#REF!</definedName>
    <definedName name="CollInc">#REF!</definedName>
    <definedName name="CostOfLiving">#REF!</definedName>
    <definedName name="Funds">#REF!</definedName>
    <definedName name="HInvRet">'Setup'!$D$21</definedName>
    <definedName name="House">'Setup'!$D$5</definedName>
    <definedName name="HouseImprov">'Setup'!$D$22</definedName>
    <definedName name="HouseInsPerc">'Setup'!$D$19</definedName>
    <definedName name="HouseMaint">'Setup'!$D$14</definedName>
    <definedName name="IncInt">'Setup'!$D$8</definedName>
    <definedName name="Interest">'Setup'!$D$4</definedName>
    <definedName name="Invest">#REF!</definedName>
    <definedName name="InvestedInterest">#REF!</definedName>
    <definedName name="IRAInvest">#REF!</definedName>
    <definedName name="IRAReturn">#REF!</definedName>
    <definedName name="LiveInApt">'Setup'!$D$9</definedName>
    <definedName name="LiveInHouse">'Setup'!$F$11</definedName>
    <definedName name="MinDPPerc">'Setup'!$D$16</definedName>
    <definedName name="MortgageLen">'Setup'!$D$10</definedName>
    <definedName name="PMIRate">'Setup'!$D$18</definedName>
    <definedName name="PMIThreshold">'Setup'!$D$17</definedName>
    <definedName name="PropertyTax">'Setup'!$D$15</definedName>
    <definedName name="Rent">'Setup'!$D$6</definedName>
    <definedName name="RentersIns">'Setup'!$D$20</definedName>
    <definedName name="RentInc">'Setup'!#REF!</definedName>
    <definedName name="RetAge">#REF!</definedName>
    <definedName name="Retrn">#REF!</definedName>
    <definedName name="Saveing">'Setup'!$D$7</definedName>
    <definedName name="StockReturn">#REF!</definedName>
  </definedNames>
  <calcPr fullCalcOnLoad="1"/>
</workbook>
</file>

<file path=xl/sharedStrings.xml><?xml version="1.0" encoding="utf-8"?>
<sst xmlns="http://schemas.openxmlformats.org/spreadsheetml/2006/main" count="182" uniqueCount="109">
  <si>
    <t>(Interest)</t>
  </si>
  <si>
    <t>(House)</t>
  </si>
  <si>
    <t>(Rent)</t>
  </si>
  <si>
    <t>(Saveing)</t>
  </si>
  <si>
    <t xml:space="preserve"> </t>
  </si>
  <si>
    <t>(HouseMaint)</t>
  </si>
  <si>
    <t>(PropertyTax)</t>
  </si>
  <si>
    <t>Assumptions</t>
  </si>
  <si>
    <t>House values do not change and I do not refinanse</t>
  </si>
  <si>
    <t>(HInvRet)</t>
  </si>
  <si>
    <t>30-Year Loan, Minimum Payments</t>
  </si>
  <si>
    <t>(IncInt)</t>
  </si>
  <si>
    <t>(LiveInApt)</t>
  </si>
  <si>
    <t>(LiveInHouse)</t>
  </si>
  <si>
    <t># Of Years Lived In Apt</t>
  </si>
  <si>
    <t>Total Rent Paid</t>
  </si>
  <si>
    <t>Total Rent Paid Per Year</t>
  </si>
  <si>
    <t>Yearly Investment Return</t>
  </si>
  <si>
    <t>Monthly Investment Amount</t>
  </si>
  <si>
    <t>Expenses</t>
  </si>
  <si>
    <t>Income After Expenses</t>
  </si>
  <si>
    <t>End Result</t>
  </si>
  <si>
    <t>(PMIRate)</t>
  </si>
  <si>
    <t>(PMIThreshold)</t>
  </si>
  <si>
    <t>Apartment Living</t>
  </si>
  <si>
    <t>With PMI</t>
  </si>
  <si>
    <t>W/O PMI</t>
  </si>
  <si>
    <t>House Purchase</t>
  </si>
  <si>
    <t>Invest Money Remaining After DP</t>
  </si>
  <si>
    <t>PMI DP Needed</t>
  </si>
  <si>
    <t>Time To Pay Off Loan (Fixed)</t>
  </si>
  <si>
    <t>Montly Mortgage Payments</t>
  </si>
  <si>
    <t>Monthly House Maintaince Costs</t>
  </si>
  <si>
    <t>Montly PMI Payment</t>
  </si>
  <si>
    <t>Total Monthly Funds Remaining To Invest</t>
  </si>
  <si>
    <t>Monthly Funds Available</t>
  </si>
  <si>
    <t>(HouseImprov)</t>
  </si>
  <si>
    <t>Ending Value</t>
  </si>
  <si>
    <t xml:space="preserve">Return From Pre-House Investments </t>
  </si>
  <si>
    <t>Paramaters To Configure</t>
  </si>
  <si>
    <t>Amount Paid Total To Mortgage</t>
  </si>
  <si>
    <t>Mortgage Size After DP</t>
  </si>
  <si>
    <t>Mortgage Details</t>
  </si>
  <si>
    <t>Amount Paid To Appartment Complex</t>
  </si>
  <si>
    <t>Money Spent With No Return</t>
  </si>
  <si>
    <t>Mortgage Loan Length</t>
  </si>
  <si>
    <t>(MortgageLen)</t>
  </si>
  <si>
    <t>Monthly Benefit From Tax Break</t>
  </si>
  <si>
    <t>Monthly Revenue During Mortgate Payments</t>
  </si>
  <si>
    <t>Monthly Revenue After House Ownership</t>
  </si>
  <si>
    <t>Pre-Mortgate Monthly Investment Amount</t>
  </si>
  <si>
    <t>Total Rent Paid Pre-Mortgage</t>
  </si>
  <si>
    <t>Monthly Property Tax Payments</t>
  </si>
  <si>
    <t>Blank If = 1</t>
  </si>
  <si>
    <t>Savings Not Enough To Avoid PMI</t>
  </si>
  <si>
    <t>Don't Make Enough To Pay Bills</t>
  </si>
  <si>
    <t>Error Checking Components</t>
  </si>
  <si>
    <t>30-Year Loan, Maximum Payments</t>
  </si>
  <si>
    <t>Pre-Mortgage Monthly Investment Amount</t>
  </si>
  <si>
    <t>Monthly Funds Available To Pay Mortgage</t>
  </si>
  <si>
    <t>Fixed Paramaters</t>
  </si>
  <si>
    <t>Mortgage Intrest Rate / Year</t>
  </si>
  <si>
    <t>Total House Cost Including Closing Costs</t>
  </si>
  <si>
    <t>Current Apartment Rent / Month</t>
  </si>
  <si>
    <t>Amount Per Month You Invest / Save</t>
  </si>
  <si>
    <t>(National Average is 8.2%)</t>
  </si>
  <si>
    <t>Your Income Tax Rate</t>
  </si>
  <si>
    <t>Years Live In Apt Before Buying House</t>
  </si>
  <si>
    <t>Years You Plan On Liveing In House</t>
  </si>
  <si>
    <t xml:space="preserve">y </t>
  </si>
  <si>
    <t>Yearly % Of House Value Spent In Maintenance</t>
  </si>
  <si>
    <t>Yearly House Property Tax</t>
  </si>
  <si>
    <t>PMI Threshold  (Mortgage Insurance)</t>
  </si>
  <si>
    <t>Yearly House Value Increase</t>
  </si>
  <si>
    <t>(15 or 30 Available)</t>
  </si>
  <si>
    <t>(1.5 - 3% of House Value)</t>
  </si>
  <si>
    <t>(Bank Forces 20%)</t>
  </si>
  <si>
    <t>(Stock Market Avg is 13%)</t>
  </si>
  <si>
    <t>(3% Is National Average)</t>
  </si>
  <si>
    <t>Inflation is factored out of all calculations</t>
  </si>
  <si>
    <t>Rent and salary increase by inflation each year</t>
  </si>
  <si>
    <t>Actual Monthly Mortgage Escrow Payment</t>
  </si>
  <si>
    <t>Estimated Monthly Avg Mortgage Escrow Payment</t>
  </si>
  <si>
    <t>House Value</t>
  </si>
  <si>
    <t>Monthly PMI Payment As % Of Monthly Mortgage</t>
  </si>
  <si>
    <t>Monthly House Insurance  As % Of Monthly Mortgage</t>
  </si>
  <si>
    <t>Monthly Renters Insurance</t>
  </si>
  <si>
    <t>Monthly Renters Insuance</t>
  </si>
  <si>
    <t>Minimum Down Payment Required</t>
  </si>
  <si>
    <t>Minimum Down Payment Needed</t>
  </si>
  <si>
    <t>Not enough money to pay DP</t>
  </si>
  <si>
    <t>Monthly House Insurance Payments</t>
  </si>
  <si>
    <t>Not enough to pay DP</t>
  </si>
  <si>
    <t>Average Total Monthly Mortgage Escrow Payment</t>
  </si>
  <si>
    <t>Monthly House Insuance Payment</t>
  </si>
  <si>
    <t>rent increases due to population increases</t>
  </si>
  <si>
    <t>house max pay is better route?</t>
  </si>
  <si>
    <t>Yearly Benfefit From Tax Break</t>
  </si>
  <si>
    <t>Scenario:</t>
  </si>
  <si>
    <t>paying to your mortgage and the amount you were saving into long term savings.</t>
  </si>
  <si>
    <t>Text for scenario description</t>
  </si>
  <si>
    <t>you were paying to your mortgage and the amount you were saving into long term</t>
  </si>
  <si>
    <t>savings.</t>
  </si>
  <si>
    <t>to your mortgage  into long term savings.</t>
  </si>
  <si>
    <t>nothing.  After you own the house, you then put the amount you were paying</t>
  </si>
  <si>
    <t>into long term savings.</t>
  </si>
  <si>
    <t>closing costs</t>
  </si>
  <si>
    <t>origination fees</t>
  </si>
  <si>
    <t>So need 4000 more to get the morgtage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</si>
</sst>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5">
    <font>
      <sz val="10"/>
      <name val="Arial"/>
      <family val="0"/>
    </font>
    <font>
      <b/>
      <sz val="10"/>
      <name val="Arial"/>
      <family val="2"/>
    </font>
    <font>
      <b/>
      <u val="single"/>
      <sz val="10"/>
      <name val="Arial"/>
      <family val="2"/>
    </font>
    <font>
      <sz val="10"/>
      <color indexed="22"/>
      <name val="Arial"/>
      <family val="2"/>
    </font>
    <font>
      <sz val="10"/>
      <color indexed="55"/>
      <name val="Arial"/>
      <family val="2"/>
    </font>
    <font>
      <sz val="10"/>
      <color indexed="10"/>
      <name val="Arial"/>
      <family val="2"/>
    </font>
    <font>
      <sz val="10"/>
      <color indexed="8"/>
      <name val="Arial"/>
      <family val="2"/>
    </font>
    <font>
      <u val="single"/>
      <sz val="10"/>
      <name val="Arial"/>
      <family val="2"/>
    </font>
    <font>
      <i/>
      <sz val="10"/>
      <color indexed="55"/>
      <name val="Arial"/>
      <family val="2"/>
    </font>
    <font>
      <sz val="8"/>
      <name val="Arial"/>
      <family val="2"/>
    </font>
    <font>
      <b/>
      <sz val="8"/>
      <name val="Arial"/>
      <family val="2"/>
    </font>
    <font>
      <b/>
      <sz val="12"/>
      <name val="Arial"/>
      <family val="2"/>
    </font>
    <font>
      <sz val="32.25"/>
      <name val="Arial"/>
      <family val="0"/>
    </font>
    <font>
      <sz val="20"/>
      <name val="Arial"/>
      <family val="0"/>
    </font>
    <font>
      <sz val="12"/>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2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Fill="1" applyAlignment="1">
      <alignment/>
    </xf>
    <xf numFmtId="0" fontId="0" fillId="0" borderId="0" xfId="0" applyFill="1" applyBorder="1" applyAlignment="1">
      <alignment/>
    </xf>
    <xf numFmtId="165" fontId="0" fillId="0" borderId="0" xfId="0" applyNumberFormat="1" applyFill="1" applyBorder="1" applyAlignment="1">
      <alignment/>
    </xf>
    <xf numFmtId="0" fontId="3" fillId="0" borderId="0" xfId="0" applyFont="1" applyFill="1" applyBorder="1" applyAlignment="1">
      <alignment/>
    </xf>
    <xf numFmtId="9" fontId="3" fillId="0" borderId="0" xfId="0" applyNumberFormat="1" applyFont="1" applyFill="1" applyBorder="1" applyAlignment="1">
      <alignment/>
    </xf>
    <xf numFmtId="165" fontId="3" fillId="0" borderId="0" xfId="0" applyNumberFormat="1" applyFont="1" applyFill="1" applyBorder="1" applyAlignment="1">
      <alignment/>
    </xf>
    <xf numFmtId="165" fontId="0" fillId="0" borderId="0" xfId="0" applyNumberFormat="1" applyFill="1" applyAlignment="1">
      <alignment/>
    </xf>
    <xf numFmtId="164" fontId="4"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9" fontId="0" fillId="0" borderId="0" xfId="0" applyNumberFormat="1" applyFill="1" applyBorder="1" applyAlignment="1">
      <alignment/>
    </xf>
    <xf numFmtId="1" fontId="6" fillId="0" borderId="0" xfId="0" applyNumberFormat="1" applyFont="1" applyFill="1" applyBorder="1" applyAlignment="1">
      <alignment/>
    </xf>
    <xf numFmtId="0" fontId="6" fillId="0" borderId="0" xfId="0" applyFont="1" applyFill="1" applyAlignment="1">
      <alignment/>
    </xf>
    <xf numFmtId="165" fontId="3" fillId="0" borderId="0" xfId="0" applyNumberFormat="1" applyFont="1" applyFill="1" applyBorder="1" applyAlignment="1">
      <alignment horizontal="right"/>
    </xf>
    <xf numFmtId="165" fontId="0" fillId="0" borderId="0" xfId="0" applyNumberFormat="1" applyAlignment="1">
      <alignment/>
    </xf>
    <xf numFmtId="0" fontId="5" fillId="0" borderId="0" xfId="0" applyFont="1" applyFill="1" applyBorder="1" applyAlignment="1">
      <alignment/>
    </xf>
    <xf numFmtId="8" fontId="5" fillId="0" borderId="0" xfId="0" applyNumberFormat="1" applyFont="1" applyFill="1" applyBorder="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0" fillId="0" borderId="5" xfId="0" applyBorder="1" applyAlignment="1">
      <alignment/>
    </xf>
    <xf numFmtId="0" fontId="0" fillId="0" borderId="2" xfId="0" applyBorder="1" applyAlignment="1">
      <alignment/>
    </xf>
    <xf numFmtId="0" fontId="3" fillId="0" borderId="0" xfId="0" applyNumberFormat="1" applyFont="1"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0" borderId="15" xfId="0" applyFill="1" applyBorder="1" applyAlignment="1">
      <alignment/>
    </xf>
    <xf numFmtId="0" fontId="0" fillId="2" borderId="17" xfId="0" applyFill="1" applyBorder="1" applyAlignment="1">
      <alignment/>
    </xf>
    <xf numFmtId="0" fontId="0" fillId="2" borderId="3" xfId="0" applyFill="1" applyBorder="1" applyAlignment="1">
      <alignment/>
    </xf>
    <xf numFmtId="0" fontId="4" fillId="2" borderId="7" xfId="0" applyFont="1" applyFill="1" applyBorder="1" applyAlignment="1">
      <alignment/>
    </xf>
    <xf numFmtId="0" fontId="0" fillId="0" borderId="17" xfId="0" applyFont="1" applyFill="1" applyBorder="1" applyAlignment="1">
      <alignment horizontal="left"/>
    </xf>
    <xf numFmtId="0" fontId="2" fillId="3" borderId="18" xfId="0" applyFont="1" applyFill="1" applyBorder="1" applyAlignment="1">
      <alignment horizontal="left"/>
    </xf>
    <xf numFmtId="0" fontId="2" fillId="3" borderId="18" xfId="0" applyFont="1" applyFill="1" applyBorder="1" applyAlignment="1">
      <alignment/>
    </xf>
    <xf numFmtId="1" fontId="6" fillId="2" borderId="17" xfId="0" applyNumberFormat="1" applyFont="1" applyFill="1" applyBorder="1" applyAlignment="1">
      <alignment horizontal="right"/>
    </xf>
    <xf numFmtId="0" fontId="0" fillId="0" borderId="17" xfId="0" applyFill="1" applyBorder="1" applyAlignment="1">
      <alignment/>
    </xf>
    <xf numFmtId="165" fontId="0" fillId="0" borderId="17" xfId="0" applyNumberFormat="1" applyFill="1" applyBorder="1" applyAlignment="1">
      <alignment horizontal="right"/>
    </xf>
    <xf numFmtId="165" fontId="0" fillId="0" borderId="17" xfId="0" applyNumberFormat="1" applyFont="1" applyFill="1" applyBorder="1" applyAlignment="1">
      <alignment horizontal="left"/>
    </xf>
    <xf numFmtId="0" fontId="0" fillId="4" borderId="17" xfId="0" applyFill="1" applyBorder="1" applyAlignment="1">
      <alignment/>
    </xf>
    <xf numFmtId="165" fontId="0" fillId="4" borderId="17" xfId="0" applyNumberFormat="1" applyFill="1" applyBorder="1" applyAlignment="1">
      <alignment horizontal="right"/>
    </xf>
    <xf numFmtId="1" fontId="6" fillId="2" borderId="13" xfId="0" applyNumberFormat="1" applyFont="1" applyFill="1" applyBorder="1" applyAlignment="1">
      <alignment/>
    </xf>
    <xf numFmtId="165" fontId="3" fillId="2" borderId="13" xfId="0" applyNumberFormat="1" applyFont="1" applyFill="1" applyBorder="1" applyAlignment="1">
      <alignment horizontal="right"/>
    </xf>
    <xf numFmtId="0" fontId="3" fillId="2" borderId="13" xfId="0" applyFont="1" applyFill="1" applyBorder="1" applyAlignment="1">
      <alignment/>
    </xf>
    <xf numFmtId="165" fontId="0" fillId="2" borderId="12" xfId="0" applyNumberFormat="1" applyFill="1" applyBorder="1" applyAlignment="1">
      <alignment/>
    </xf>
    <xf numFmtId="165" fontId="3" fillId="2" borderId="13" xfId="0" applyNumberFormat="1" applyFont="1" applyFill="1" applyBorder="1" applyAlignment="1">
      <alignment/>
    </xf>
    <xf numFmtId="9" fontId="3" fillId="2" borderId="13" xfId="0" applyNumberFormat="1" applyFont="1" applyFill="1" applyBorder="1" applyAlignment="1">
      <alignment/>
    </xf>
    <xf numFmtId="0" fontId="1" fillId="2" borderId="15" xfId="0" applyFont="1" applyFill="1" applyBorder="1" applyAlignment="1">
      <alignment horizontal="left"/>
    </xf>
    <xf numFmtId="9" fontId="0" fillId="2" borderId="15" xfId="0" applyNumberFormat="1" applyFill="1" applyBorder="1" applyAlignment="1">
      <alignment/>
    </xf>
    <xf numFmtId="9" fontId="3" fillId="2" borderId="16" xfId="0" applyNumberFormat="1" applyFont="1" applyFill="1" applyBorder="1" applyAlignment="1">
      <alignment/>
    </xf>
    <xf numFmtId="1" fontId="6" fillId="0" borderId="19" xfId="0" applyNumberFormat="1" applyFont="1" applyFill="1" applyBorder="1" applyAlignment="1">
      <alignment horizontal="right"/>
    </xf>
    <xf numFmtId="1" fontId="6" fillId="2" borderId="3" xfId="0" applyNumberFormat="1" applyFont="1" applyFill="1" applyBorder="1" applyAlignment="1">
      <alignment horizontal="right"/>
    </xf>
    <xf numFmtId="0" fontId="1" fillId="2" borderId="17" xfId="0" applyFont="1" applyFill="1" applyBorder="1" applyAlignment="1">
      <alignment/>
    </xf>
    <xf numFmtId="165" fontId="0" fillId="2" borderId="17" xfId="0" applyNumberFormat="1" applyFill="1" applyBorder="1" applyAlignment="1">
      <alignment horizontal="right"/>
    </xf>
    <xf numFmtId="0" fontId="1" fillId="2" borderId="17" xfId="0" applyFont="1" applyFill="1" applyBorder="1" applyAlignment="1">
      <alignment horizontal="left"/>
    </xf>
    <xf numFmtId="9" fontId="0" fillId="2" borderId="17" xfId="0" applyNumberFormat="1" applyFill="1" applyBorder="1" applyAlignment="1">
      <alignment horizontal="right"/>
    </xf>
    <xf numFmtId="0" fontId="3" fillId="2" borderId="12" xfId="0" applyFont="1" applyFill="1" applyBorder="1" applyAlignment="1">
      <alignment/>
    </xf>
    <xf numFmtId="164" fontId="4" fillId="2" borderId="13" xfId="0" applyNumberFormat="1" applyFont="1" applyFill="1" applyBorder="1" applyAlignment="1">
      <alignment horizontal="center"/>
    </xf>
    <xf numFmtId="165" fontId="0" fillId="2" borderId="14" xfId="0" applyNumberFormat="1" applyFill="1" applyBorder="1" applyAlignment="1">
      <alignment/>
    </xf>
    <xf numFmtId="164" fontId="0" fillId="2" borderId="15" xfId="0" applyNumberFormat="1" applyFill="1" applyBorder="1" applyAlignment="1">
      <alignment horizontal="right"/>
    </xf>
    <xf numFmtId="165" fontId="0" fillId="2" borderId="15" xfId="0" applyNumberFormat="1" applyFont="1" applyFill="1" applyBorder="1" applyAlignment="1">
      <alignment/>
    </xf>
    <xf numFmtId="165" fontId="3" fillId="2" borderId="16" xfId="0" applyNumberFormat="1" applyFont="1" applyFill="1" applyBorder="1" applyAlignment="1">
      <alignment/>
    </xf>
    <xf numFmtId="0" fontId="2" fillId="3" borderId="17" xfId="0" applyFont="1" applyFill="1" applyBorder="1" applyAlignment="1">
      <alignment/>
    </xf>
    <xf numFmtId="164" fontId="4" fillId="0" borderId="17" xfId="0" applyNumberFormat="1" applyFont="1" applyFill="1" applyBorder="1" applyAlignment="1">
      <alignment horizontal="center"/>
    </xf>
    <xf numFmtId="0" fontId="0" fillId="2" borderId="17" xfId="0" applyFont="1" applyFill="1" applyBorder="1" applyAlignment="1">
      <alignment/>
    </xf>
    <xf numFmtId="164" fontId="4" fillId="2" borderId="17" xfId="0" applyNumberFormat="1" applyFont="1" applyFill="1" applyBorder="1" applyAlignment="1">
      <alignment horizontal="center"/>
    </xf>
    <xf numFmtId="1" fontId="6" fillId="0" borderId="17" xfId="0" applyNumberFormat="1" applyFont="1" applyFill="1" applyBorder="1" applyAlignment="1">
      <alignment horizontal="right"/>
    </xf>
    <xf numFmtId="165" fontId="0" fillId="2" borderId="17" xfId="0" applyNumberFormat="1" applyFont="1" applyFill="1" applyBorder="1" applyAlignment="1">
      <alignment horizontal="left"/>
    </xf>
    <xf numFmtId="165" fontId="3" fillId="2" borderId="17" xfId="0" applyNumberFormat="1" applyFont="1" applyFill="1" applyBorder="1" applyAlignment="1">
      <alignment/>
    </xf>
    <xf numFmtId="165" fontId="0" fillId="2" borderId="17" xfId="0" applyNumberFormat="1" applyFont="1" applyFill="1" applyBorder="1" applyAlignment="1">
      <alignment/>
    </xf>
    <xf numFmtId="165" fontId="0" fillId="0" borderId="17" xfId="0" applyNumberFormat="1" applyFont="1" applyFill="1" applyBorder="1" applyAlignment="1">
      <alignment/>
    </xf>
    <xf numFmtId="3" fontId="0" fillId="0" borderId="17" xfId="0" applyNumberFormat="1" applyFill="1" applyBorder="1" applyAlignment="1">
      <alignment horizontal="right"/>
    </xf>
    <xf numFmtId="3" fontId="0" fillId="0" borderId="17" xfId="0" applyNumberFormat="1" applyFont="1" applyFill="1" applyBorder="1" applyAlignment="1">
      <alignment/>
    </xf>
    <xf numFmtId="3" fontId="0" fillId="2" borderId="17" xfId="0" applyNumberFormat="1" applyFill="1" applyBorder="1" applyAlignment="1">
      <alignment horizontal="right"/>
    </xf>
    <xf numFmtId="3" fontId="0" fillId="2" borderId="17" xfId="0" applyNumberFormat="1" applyFont="1" applyFill="1" applyBorder="1" applyAlignment="1">
      <alignment/>
    </xf>
    <xf numFmtId="165" fontId="0" fillId="0" borderId="17" xfId="0" applyNumberFormat="1" applyFont="1" applyFill="1" applyBorder="1" applyAlignment="1">
      <alignment horizontal="right"/>
    </xf>
    <xf numFmtId="165" fontId="0" fillId="2" borderId="17" xfId="0" applyNumberFormat="1" applyFill="1" applyBorder="1" applyAlignment="1">
      <alignment horizontal="center"/>
    </xf>
    <xf numFmtId="165" fontId="0" fillId="4" borderId="17" xfId="0" applyNumberFormat="1" applyFont="1" applyFill="1" applyBorder="1" applyAlignment="1">
      <alignment horizontal="left"/>
    </xf>
    <xf numFmtId="165" fontId="0" fillId="4" borderId="17" xfId="0" applyNumberFormat="1" applyFont="1" applyFill="1" applyBorder="1" applyAlignment="1">
      <alignment/>
    </xf>
    <xf numFmtId="165" fontId="0" fillId="2" borderId="13" xfId="0" applyNumberFormat="1" applyFill="1" applyBorder="1" applyAlignment="1">
      <alignment/>
    </xf>
    <xf numFmtId="0" fontId="0" fillId="2" borderId="15" xfId="0" applyNumberFormat="1" applyFill="1" applyBorder="1" applyAlignment="1">
      <alignment/>
    </xf>
    <xf numFmtId="164" fontId="5" fillId="2" borderId="0" xfId="0" applyNumberFormat="1" applyFont="1" applyFill="1" applyBorder="1" applyAlignment="1">
      <alignment horizontal="center"/>
    </xf>
    <xf numFmtId="0" fontId="5" fillId="2" borderId="12" xfId="0" applyFont="1" applyFill="1" applyBorder="1" applyAlignment="1">
      <alignment/>
    </xf>
    <xf numFmtId="8" fontId="5" fillId="2" borderId="0" xfId="0" applyNumberFormat="1" applyFont="1" applyFill="1" applyBorder="1" applyAlignment="1">
      <alignment/>
    </xf>
    <xf numFmtId="164" fontId="5" fillId="2" borderId="13" xfId="0" applyNumberFormat="1" applyFont="1" applyFill="1" applyBorder="1" applyAlignment="1">
      <alignment horizontal="center"/>
    </xf>
    <xf numFmtId="0" fontId="4" fillId="0" borderId="1" xfId="0" applyFont="1" applyFill="1" applyBorder="1" applyAlignment="1">
      <alignment/>
    </xf>
    <xf numFmtId="9" fontId="4" fillId="0" borderId="2" xfId="0" applyNumberFormat="1" applyFont="1" applyFill="1" applyBorder="1" applyAlignment="1">
      <alignment/>
    </xf>
    <xf numFmtId="0" fontId="4" fillId="0" borderId="7" xfId="0" applyFont="1" applyFill="1" applyBorder="1" applyAlignment="1">
      <alignment/>
    </xf>
    <xf numFmtId="165" fontId="4" fillId="0" borderId="6" xfId="0" applyNumberFormat="1" applyFont="1" applyFill="1" applyBorder="1" applyAlignment="1">
      <alignment/>
    </xf>
    <xf numFmtId="9" fontId="4" fillId="0" borderId="7" xfId="0" applyNumberFormat="1" applyFont="1" applyFill="1" applyBorder="1" applyAlignment="1">
      <alignment/>
    </xf>
    <xf numFmtId="9" fontId="4" fillId="0" borderId="6" xfId="0" applyNumberFormat="1" applyFont="1" applyFill="1" applyBorder="1" applyAlignment="1">
      <alignment/>
    </xf>
    <xf numFmtId="1" fontId="4" fillId="0" borderId="6"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9" fontId="4" fillId="0" borderId="8" xfId="0" applyNumberFormat="1" applyFont="1" applyFill="1" applyBorder="1" applyAlignment="1">
      <alignment/>
    </xf>
    <xf numFmtId="9" fontId="4" fillId="0" borderId="4" xfId="0" applyNumberFormat="1" applyFont="1" applyFill="1" applyBorder="1" applyAlignment="1">
      <alignment/>
    </xf>
    <xf numFmtId="9" fontId="4" fillId="0" borderId="0" xfId="0" applyNumberFormat="1" applyFont="1" applyFill="1" applyBorder="1" applyAlignment="1">
      <alignment/>
    </xf>
    <xf numFmtId="165" fontId="0" fillId="0" borderId="17" xfId="0" applyNumberFormat="1" applyFill="1" applyBorder="1" applyAlignment="1">
      <alignment/>
    </xf>
    <xf numFmtId="0" fontId="0" fillId="0" borderId="0" xfId="0" applyFill="1" applyBorder="1" applyAlignment="1">
      <alignment horizontal="left"/>
    </xf>
    <xf numFmtId="1" fontId="0" fillId="0" borderId="17" xfId="0" applyNumberFormat="1" applyFill="1" applyBorder="1" applyAlignment="1">
      <alignment/>
    </xf>
    <xf numFmtId="0" fontId="0" fillId="2" borderId="15" xfId="0" applyFill="1" applyBorder="1" applyAlignment="1">
      <alignment horizontal="left"/>
    </xf>
    <xf numFmtId="0" fontId="0" fillId="2" borderId="10" xfId="0"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9" fontId="8" fillId="2" borderId="0" xfId="0" applyNumberFormat="1" applyFont="1" applyFill="1" applyBorder="1" applyAlignment="1">
      <alignment horizontal="left"/>
    </xf>
    <xf numFmtId="164" fontId="8" fillId="2" borderId="0" xfId="0" applyNumberFormat="1" applyFont="1" applyFill="1" applyBorder="1" applyAlignment="1">
      <alignment horizontal="left"/>
    </xf>
    <xf numFmtId="0" fontId="7" fillId="2" borderId="15" xfId="0" applyFont="1" applyFill="1" applyBorder="1" applyAlignment="1">
      <alignment/>
    </xf>
    <xf numFmtId="0" fontId="0" fillId="0" borderId="18" xfId="0" applyFill="1" applyBorder="1" applyAlignment="1">
      <alignment/>
    </xf>
    <xf numFmtId="0" fontId="0" fillId="2" borderId="7" xfId="0" applyFill="1" applyBorder="1" applyAlignment="1">
      <alignment/>
    </xf>
    <xf numFmtId="0" fontId="3" fillId="0" borderId="1" xfId="0" applyFont="1" applyFill="1" applyBorder="1" applyAlignment="1">
      <alignment/>
    </xf>
    <xf numFmtId="0" fontId="0" fillId="0" borderId="5" xfId="0" applyFill="1" applyBorder="1" applyAlignment="1">
      <alignment/>
    </xf>
    <xf numFmtId="0" fontId="0" fillId="0" borderId="2" xfId="0" applyFill="1" applyBorder="1" applyAlignment="1">
      <alignment/>
    </xf>
    <xf numFmtId="0" fontId="3" fillId="0" borderId="5" xfId="0" applyFont="1" applyFill="1" applyBorder="1" applyAlignment="1">
      <alignment/>
    </xf>
    <xf numFmtId="0" fontId="3" fillId="0" borderId="2" xfId="0" applyFont="1" applyFill="1" applyBorder="1" applyAlignment="1">
      <alignment/>
    </xf>
    <xf numFmtId="0" fontId="3" fillId="0" borderId="7"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8" xfId="0" applyFont="1" applyFill="1" applyBorder="1" applyAlignment="1">
      <alignment/>
    </xf>
    <xf numFmtId="0" fontId="3" fillId="0" borderId="4" xfId="0" applyFont="1" applyFill="1" applyBorder="1" applyAlignment="1">
      <alignment/>
    </xf>
    <xf numFmtId="0" fontId="2" fillId="2" borderId="17" xfId="0" applyFont="1" applyFill="1" applyBorder="1" applyAlignment="1">
      <alignment/>
    </xf>
    <xf numFmtId="165" fontId="0" fillId="2" borderId="15" xfId="0" applyNumberFormat="1" applyFill="1" applyBorder="1" applyAlignment="1">
      <alignment/>
    </xf>
    <xf numFmtId="10" fontId="0" fillId="0" borderId="17" xfId="0" applyNumberFormat="1" applyFill="1" applyBorder="1" applyAlignment="1">
      <alignment/>
    </xf>
    <xf numFmtId="10" fontId="0" fillId="0" borderId="19" xfId="0" applyNumberFormat="1" applyFill="1" applyBorder="1" applyAlignment="1">
      <alignment/>
    </xf>
    <xf numFmtId="0" fontId="0" fillId="0" borderId="1" xfId="0" applyFill="1" applyBorder="1" applyAlignment="1">
      <alignment/>
    </xf>
    <xf numFmtId="0" fontId="1" fillId="0" borderId="1" xfId="0" applyFont="1" applyFill="1" applyBorder="1" applyAlignment="1">
      <alignment/>
    </xf>
    <xf numFmtId="0" fontId="0" fillId="0" borderId="7" xfId="0" applyFill="1" applyBorder="1" applyAlignment="1">
      <alignment/>
    </xf>
    <xf numFmtId="0" fontId="0" fillId="0" borderId="6" xfId="0" applyFill="1" applyBorder="1" applyAlignment="1">
      <alignment/>
    </xf>
    <xf numFmtId="0" fontId="0" fillId="0" borderId="3" xfId="0" applyFill="1" applyBorder="1" applyAlignment="1">
      <alignment/>
    </xf>
    <xf numFmtId="0" fontId="0" fillId="0" borderId="8" xfId="0" applyFill="1" applyBorder="1" applyAlignment="1">
      <alignment/>
    </xf>
    <xf numFmtId="0" fontId="0" fillId="0" borderId="4" xfId="0" applyFill="1" applyBorder="1" applyAlignment="1">
      <alignment/>
    </xf>
    <xf numFmtId="165" fontId="0"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Mortgage Payments</a:t>
            </a:r>
          </a:p>
        </c:rich>
      </c:tx>
      <c:layout/>
      <c:spPr>
        <a:noFill/>
        <a:ln>
          <a:noFill/>
        </a:ln>
      </c:spPr>
    </c:title>
    <c:plotArea>
      <c:layout>
        <c:manualLayout>
          <c:xMode val="edge"/>
          <c:yMode val="edge"/>
          <c:x val="0.0865"/>
          <c:y val="0.069"/>
          <c:w val="0.8635"/>
          <c:h val="0.913"/>
        </c:manualLayout>
      </c:layout>
      <c:lineChart>
        <c:grouping val="standard"/>
        <c:varyColors val="0"/>
        <c:ser>
          <c:idx val="1"/>
          <c:order val="0"/>
          <c:tx>
            <c:v>Without PMI</c:v>
          </c:tx>
          <c:extLst>
            <c:ext xmlns:c14="http://schemas.microsoft.com/office/drawing/2007/8/2/chart" uri="{6F2FDCE9-48DA-4B69-8628-5D25D57E5C99}">
              <c14:invertSolidFillFmt>
                <c14:spPr>
                  <a:solidFill>
                    <a:srgbClr val="000000"/>
                  </a:solidFill>
                </c14:spPr>
              </c14:invertSolidFillFmt>
            </c:ext>
          </c:extLst>
          <c:cat>
            <c:numRef>
              <c:f>MinPayGraph!$D$4:$D$30</c:f>
              <c:numCache>
                <c:ptCount val="27"/>
                <c:pt idx="0">
                  <c:v>0</c:v>
                </c:pt>
                <c:pt idx="1">
                  <c:v>20000</c:v>
                </c:pt>
                <c:pt idx="2">
                  <c:v>50000</c:v>
                </c:pt>
                <c:pt idx="3">
                  <c:v>70000</c:v>
                </c:pt>
                <c:pt idx="4">
                  <c:v>80000</c:v>
                </c:pt>
                <c:pt idx="5">
                  <c:v>90000</c:v>
                </c:pt>
                <c:pt idx="6">
                  <c:v>100000</c:v>
                </c:pt>
                <c:pt idx="7">
                  <c:v>105000</c:v>
                </c:pt>
                <c:pt idx="8">
                  <c:v>110000</c:v>
                </c:pt>
                <c:pt idx="9">
                  <c:v>114000</c:v>
                </c:pt>
                <c:pt idx="10">
                  <c:v>116000</c:v>
                </c:pt>
                <c:pt idx="11">
                  <c:v>118000</c:v>
                </c:pt>
                <c:pt idx="12">
                  <c:v>119000</c:v>
                </c:pt>
                <c:pt idx="13">
                  <c:v>120000</c:v>
                </c:pt>
                <c:pt idx="14">
                  <c:v>121000</c:v>
                </c:pt>
                <c:pt idx="15">
                  <c:v>122000</c:v>
                </c:pt>
                <c:pt idx="16">
                  <c:v>124000</c:v>
                </c:pt>
                <c:pt idx="17">
                  <c:v>126000</c:v>
                </c:pt>
                <c:pt idx="18">
                  <c:v>130000</c:v>
                </c:pt>
                <c:pt idx="19">
                  <c:v>135000</c:v>
                </c:pt>
                <c:pt idx="20">
                  <c:v>140000</c:v>
                </c:pt>
                <c:pt idx="21">
                  <c:v>150000</c:v>
                </c:pt>
                <c:pt idx="22">
                  <c:v>160000</c:v>
                </c:pt>
                <c:pt idx="23">
                  <c:v>170000</c:v>
                </c:pt>
                <c:pt idx="24">
                  <c:v>190000</c:v>
                </c:pt>
                <c:pt idx="25">
                  <c:v>220000</c:v>
                </c:pt>
                <c:pt idx="26">
                  <c:v>270000</c:v>
                </c:pt>
              </c:numCache>
            </c:numRef>
          </c:cat>
          <c:val>
            <c:numRef>
              <c:f>MinPayGraph!$E$4:$E$30</c:f>
              <c:numCache>
                <c:ptCount val="27"/>
                <c:pt idx="0">
                  <c:v>0</c:v>
                </c:pt>
                <c:pt idx="1">
                  <c:v>0</c:v>
                </c:pt>
                <c:pt idx="2">
                  <c:v>201.71646987304848</c:v>
                </c:pt>
                <c:pt idx="3">
                  <c:v>339.95990823693865</c:v>
                </c:pt>
                <c:pt idx="4">
                  <c:v>409.0816274188837</c:v>
                </c:pt>
                <c:pt idx="5">
                  <c:v>478.20334660081426</c:v>
                </c:pt>
                <c:pt idx="6">
                  <c:v>547.3250657827593</c:v>
                </c:pt>
                <c:pt idx="7">
                  <c:v>581.8859253737319</c:v>
                </c:pt>
                <c:pt idx="8">
                  <c:v>616.4467849647044</c:v>
                </c:pt>
                <c:pt idx="9">
                  <c:v>644.0954726374766</c:v>
                </c:pt>
                <c:pt idx="10">
                  <c:v>657.9198164738773</c:v>
                </c:pt>
                <c:pt idx="11">
                  <c:v>671.7441603102634</c:v>
                </c:pt>
                <c:pt idx="12">
                  <c:v>678.6563322284492</c:v>
                </c:pt>
                <c:pt idx="13">
                  <c:v>685.5685041466495</c:v>
                </c:pt>
                <c:pt idx="14">
                  <c:v>692.4806760648498</c:v>
                </c:pt>
                <c:pt idx="15">
                  <c:v>699.3928479830356</c:v>
                </c:pt>
                <c:pt idx="16">
                  <c:v>713.2171918194217</c:v>
                </c:pt>
                <c:pt idx="17">
                  <c:v>727.0415356558078</c:v>
                </c:pt>
                <c:pt idx="18">
                  <c:v>754.6902233285946</c:v>
                </c:pt>
                <c:pt idx="19">
                  <c:v>789.2510829195671</c:v>
                </c:pt>
                <c:pt idx="20">
                  <c:v>823.8119425105397</c:v>
                </c:pt>
                <c:pt idx="21">
                  <c:v>892.9336616924702</c:v>
                </c:pt>
                <c:pt idx="22">
                  <c:v>962.0553808744153</c:v>
                </c:pt>
                <c:pt idx="23">
                  <c:v>1031.1771000563604</c:v>
                </c:pt>
                <c:pt idx="24">
                  <c:v>1169.4205384202505</c:v>
                </c:pt>
                <c:pt idx="25">
                  <c:v>1376.7856959660712</c:v>
                </c:pt>
                <c:pt idx="26">
                  <c:v>1722.394291875782</c:v>
                </c:pt>
              </c:numCache>
            </c:numRef>
          </c:val>
          <c:smooth val="0"/>
        </c:ser>
        <c:ser>
          <c:idx val="2"/>
          <c:order val="1"/>
          <c:tx>
            <c:v>With PMI</c:v>
          </c:tx>
          <c:extLst>
            <c:ext xmlns:c14="http://schemas.microsoft.com/office/drawing/2007/8/2/chart" uri="{6F2FDCE9-48DA-4B69-8628-5D25D57E5C99}">
              <c14:invertSolidFillFmt>
                <c14:spPr>
                  <a:solidFill>
                    <a:srgbClr val="000000"/>
                  </a:solidFill>
                </c14:spPr>
              </c14:invertSolidFillFmt>
            </c:ext>
          </c:extLst>
          <c:cat>
            <c:numRef>
              <c:f>MinPayGraph!$D$4:$D$30</c:f>
              <c:numCache>
                <c:ptCount val="27"/>
                <c:pt idx="0">
                  <c:v>0</c:v>
                </c:pt>
                <c:pt idx="1">
                  <c:v>20000</c:v>
                </c:pt>
                <c:pt idx="2">
                  <c:v>50000</c:v>
                </c:pt>
                <c:pt idx="3">
                  <c:v>70000</c:v>
                </c:pt>
                <c:pt idx="4">
                  <c:v>80000</c:v>
                </c:pt>
                <c:pt idx="5">
                  <c:v>90000</c:v>
                </c:pt>
                <c:pt idx="6">
                  <c:v>100000</c:v>
                </c:pt>
                <c:pt idx="7">
                  <c:v>105000</c:v>
                </c:pt>
                <c:pt idx="8">
                  <c:v>110000</c:v>
                </c:pt>
                <c:pt idx="9">
                  <c:v>114000</c:v>
                </c:pt>
                <c:pt idx="10">
                  <c:v>116000</c:v>
                </c:pt>
                <c:pt idx="11">
                  <c:v>118000</c:v>
                </c:pt>
                <c:pt idx="12">
                  <c:v>119000</c:v>
                </c:pt>
                <c:pt idx="13">
                  <c:v>120000</c:v>
                </c:pt>
                <c:pt idx="14">
                  <c:v>121000</c:v>
                </c:pt>
                <c:pt idx="15">
                  <c:v>122000</c:v>
                </c:pt>
                <c:pt idx="16">
                  <c:v>124000</c:v>
                </c:pt>
                <c:pt idx="17">
                  <c:v>126000</c:v>
                </c:pt>
                <c:pt idx="18">
                  <c:v>130000</c:v>
                </c:pt>
                <c:pt idx="19">
                  <c:v>135000</c:v>
                </c:pt>
                <c:pt idx="20">
                  <c:v>140000</c:v>
                </c:pt>
                <c:pt idx="21">
                  <c:v>150000</c:v>
                </c:pt>
                <c:pt idx="22">
                  <c:v>160000</c:v>
                </c:pt>
                <c:pt idx="23">
                  <c:v>170000</c:v>
                </c:pt>
                <c:pt idx="24">
                  <c:v>190000</c:v>
                </c:pt>
                <c:pt idx="25">
                  <c:v>220000</c:v>
                </c:pt>
                <c:pt idx="26">
                  <c:v>270000</c:v>
                </c:pt>
              </c:numCache>
            </c:numRef>
          </c:cat>
          <c:val>
            <c:numRef>
              <c:f>MinPayGraph!$F$4:$F$30</c:f>
              <c:numCache>
                <c:ptCount val="27"/>
                <c:pt idx="0">
                  <c:v>0</c:v>
                </c:pt>
                <c:pt idx="1">
                  <c:v>138.29343836387852</c:v>
                </c:pt>
                <c:pt idx="2">
                  <c:v>345.65859590971377</c:v>
                </c:pt>
                <c:pt idx="3">
                  <c:v>483.90203427360393</c:v>
                </c:pt>
                <c:pt idx="4">
                  <c:v>553.0237534555345</c:v>
                </c:pt>
                <c:pt idx="5">
                  <c:v>622.1454726374795</c:v>
                </c:pt>
                <c:pt idx="6">
                  <c:v>691.2671918194246</c:v>
                </c:pt>
                <c:pt idx="7">
                  <c:v>725.8280514103972</c:v>
                </c:pt>
                <c:pt idx="8">
                  <c:v>760.3889110013697</c:v>
                </c:pt>
                <c:pt idx="9">
                  <c:v>788.0375986741419</c:v>
                </c:pt>
                <c:pt idx="10">
                  <c:v>801.861942510528</c:v>
                </c:pt>
                <c:pt idx="11">
                  <c:v>815.6862863469287</c:v>
                </c:pt>
                <c:pt idx="12">
                  <c:v>822.5984582651145</c:v>
                </c:pt>
                <c:pt idx="13">
                  <c:v>829.5106301833148</c:v>
                </c:pt>
                <c:pt idx="14">
                  <c:v>836.4228021015006</c:v>
                </c:pt>
                <c:pt idx="15">
                  <c:v>843.3349740197009</c:v>
                </c:pt>
                <c:pt idx="16">
                  <c:v>857.159317856087</c:v>
                </c:pt>
                <c:pt idx="17">
                  <c:v>870.9836616924731</c:v>
                </c:pt>
                <c:pt idx="18">
                  <c:v>898.6323493652599</c:v>
                </c:pt>
                <c:pt idx="19">
                  <c:v>933.1932089562179</c:v>
                </c:pt>
                <c:pt idx="20">
                  <c:v>967.7540685471904</c:v>
                </c:pt>
                <c:pt idx="21">
                  <c:v>1036.8757877291355</c:v>
                </c:pt>
                <c:pt idx="22">
                  <c:v>1105.9975069110806</c:v>
                </c:pt>
                <c:pt idx="23">
                  <c:v>1175.1192260930256</c:v>
                </c:pt>
                <c:pt idx="24">
                  <c:v>1313.3626644569158</c:v>
                </c:pt>
                <c:pt idx="25">
                  <c:v>1520.7278220027365</c:v>
                </c:pt>
                <c:pt idx="26">
                  <c:v>1866.3364179124474</c:v>
                </c:pt>
              </c:numCache>
            </c:numRef>
          </c:val>
          <c:smooth val="0"/>
        </c:ser>
        <c:marker val="1"/>
        <c:axId val="59986732"/>
        <c:axId val="3009677"/>
      </c:lineChart>
      <c:catAx>
        <c:axId val="59986732"/>
        <c:scaling>
          <c:orientation val="minMax"/>
        </c:scaling>
        <c:axPos val="b"/>
        <c:title>
          <c:tx>
            <c:rich>
              <a:bodyPr vert="horz" rot="0" anchor="ctr"/>
              <a:lstStyle/>
              <a:p>
                <a:pPr algn="ctr">
                  <a:defRPr/>
                </a:pPr>
                <a:r>
                  <a:rPr lang="en-US" cap="none" sz="800" b="1" i="0" u="none" baseline="0">
                    <a:latin typeface="Arial"/>
                    <a:ea typeface="Arial"/>
                    <a:cs typeface="Arial"/>
                  </a:rPr>
                  <a:t>House Value</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09677"/>
        <c:crosses val="autoZero"/>
        <c:auto val="1"/>
        <c:lblOffset val="100"/>
        <c:noMultiLvlLbl val="0"/>
      </c:catAx>
      <c:valAx>
        <c:axId val="3009677"/>
        <c:scaling>
          <c:orientation val="minMax"/>
        </c:scaling>
        <c:axPos val="l"/>
        <c:title>
          <c:tx>
            <c:rich>
              <a:bodyPr vert="horz" rot="-5400000" anchor="ctr"/>
              <a:lstStyle/>
              <a:p>
                <a:pPr algn="ctr">
                  <a:defRPr/>
                </a:pPr>
                <a:r>
                  <a:rPr lang="en-US" cap="none" sz="800" b="1" i="0" u="none" baseline="0">
                    <a:latin typeface="Arial"/>
                    <a:ea typeface="Arial"/>
                    <a:cs typeface="Arial"/>
                  </a:rPr>
                  <a:t>Mortgage Payment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986732"/>
        <c:crossesAt val="1"/>
        <c:crossBetween val="between"/>
        <c:dispUnits/>
        <c:majorUnit val="100"/>
        <c:minorUnit val="100"/>
      </c:valAx>
      <c:spPr>
        <a:solidFill>
          <a:srgbClr val="C0C0C0"/>
        </a:solidFill>
        <a:ln w="12700">
          <a:solidFill>
            <a:srgbClr val="808080"/>
          </a:solidFill>
        </a:ln>
      </c:spPr>
    </c:plotArea>
    <c:legend>
      <c:legendPos val="r"/>
      <c:layout>
        <c:manualLayout>
          <c:xMode val="edge"/>
          <c:yMode val="edge"/>
          <c:x val="0.19225"/>
          <c:y val="0.19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12</xdr:col>
      <xdr:colOff>409575</xdr:colOff>
      <xdr:row>30</xdr:row>
      <xdr:rowOff>152400</xdr:rowOff>
    </xdr:to>
    <xdr:graphicFrame>
      <xdr:nvGraphicFramePr>
        <xdr:cNvPr id="1" name="Chart 1"/>
        <xdr:cNvGraphicFramePr/>
      </xdr:nvGraphicFramePr>
      <xdr:xfrm>
        <a:off x="200025" y="152400"/>
        <a:ext cx="6724650" cy="4857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B2:N38"/>
  <sheetViews>
    <sheetView tabSelected="1" workbookViewId="0" topLeftCell="A10">
      <selection activeCell="C32" sqref="C32"/>
    </sheetView>
  </sheetViews>
  <sheetFormatPr defaultColWidth="9.140625" defaultRowHeight="12.75"/>
  <cols>
    <col min="1" max="1" width="2.7109375" style="2" customWidth="1"/>
    <col min="2" max="2" width="2.8515625" style="2" customWidth="1"/>
    <col min="3" max="3" width="45.57421875" style="2" bestFit="1" customWidth="1"/>
    <col min="4" max="4" width="11.140625" style="2" customWidth="1"/>
    <col min="5" max="5" width="12.8515625" style="2" hidden="1" customWidth="1"/>
    <col min="6" max="6" width="8.57421875" style="2" hidden="1" customWidth="1"/>
    <col min="7" max="7" width="3.421875" style="2" customWidth="1"/>
    <col min="8" max="8" width="23.140625" style="110" bestFit="1" customWidth="1"/>
    <col min="9" max="9" width="3.140625" style="2" customWidth="1"/>
    <col min="10" max="10" width="8.57421875" style="2" customWidth="1"/>
    <col min="11" max="11" width="13.421875" style="2" bestFit="1" customWidth="1"/>
    <col min="12" max="12" width="4.7109375" style="2" bestFit="1" customWidth="1"/>
    <col min="13" max="13" width="3.00390625" style="2" customWidth="1"/>
    <col min="14" max="15" width="11.28125" style="2" bestFit="1" customWidth="1"/>
    <col min="16" max="21" width="10.140625" style="2" bestFit="1" customWidth="1"/>
    <col min="22" max="23" width="11.140625" style="2" bestFit="1" customWidth="1"/>
    <col min="24" max="24" width="11.7109375" style="2" customWidth="1"/>
    <col min="25" max="27" width="11.140625" style="2" bestFit="1" customWidth="1"/>
    <col min="28" max="28" width="15.57421875" style="2" bestFit="1" customWidth="1"/>
    <col min="29" max="30" width="11.140625" style="2" bestFit="1" customWidth="1"/>
    <col min="31" max="31" width="15.57421875" style="2" bestFit="1" customWidth="1"/>
    <col min="32" max="32" width="11.140625" style="2" bestFit="1" customWidth="1"/>
    <col min="33" max="35" width="10.7109375" style="2" bestFit="1" customWidth="1"/>
    <col min="36" max="16384" width="9.140625" style="2" customWidth="1"/>
  </cols>
  <sheetData>
    <row r="1" ht="13.5" thickBot="1"/>
    <row r="2" spans="2:9" ht="12.75">
      <c r="B2" s="32"/>
      <c r="C2" s="33"/>
      <c r="D2" s="33"/>
      <c r="E2" s="33"/>
      <c r="F2" s="33"/>
      <c r="G2" s="33"/>
      <c r="H2" s="113"/>
      <c r="I2" s="34"/>
    </row>
    <row r="3" spans="2:9" ht="12.75">
      <c r="B3" s="35"/>
      <c r="C3" s="45" t="s">
        <v>39</v>
      </c>
      <c r="D3" s="42"/>
      <c r="E3" s="31"/>
      <c r="F3" s="31"/>
      <c r="G3" s="31"/>
      <c r="H3" s="114"/>
      <c r="I3" s="36"/>
    </row>
    <row r="4" spans="2:9" ht="12.75">
      <c r="B4" s="35"/>
      <c r="C4" s="44" t="s">
        <v>61</v>
      </c>
      <c r="D4" s="133">
        <v>0.06</v>
      </c>
      <c r="E4" s="97" t="s">
        <v>0</v>
      </c>
      <c r="F4" s="98">
        <f>Interest</f>
        <v>0.06</v>
      </c>
      <c r="H4" s="115" t="s">
        <v>65</v>
      </c>
      <c r="I4" s="36"/>
    </row>
    <row r="5" spans="2:9" ht="12.75">
      <c r="B5" s="35"/>
      <c r="C5" s="44" t="s">
        <v>62</v>
      </c>
      <c r="D5" s="109">
        <v>120000</v>
      </c>
      <c r="E5" s="99" t="s">
        <v>1</v>
      </c>
      <c r="F5" s="100">
        <f>House</f>
        <v>120000</v>
      </c>
      <c r="H5" s="115"/>
      <c r="I5" s="36"/>
    </row>
    <row r="6" spans="2:9" ht="12.75">
      <c r="B6" s="35"/>
      <c r="C6" s="44" t="s">
        <v>63</v>
      </c>
      <c r="D6" s="109">
        <v>575</v>
      </c>
      <c r="E6" s="99" t="s">
        <v>2</v>
      </c>
      <c r="F6" s="100">
        <f>Rent</f>
        <v>575</v>
      </c>
      <c r="H6" s="115"/>
      <c r="I6" s="36"/>
    </row>
    <row r="7" spans="2:9" ht="12.75">
      <c r="B7" s="35"/>
      <c r="C7" s="44" t="s">
        <v>64</v>
      </c>
      <c r="D7" s="109">
        <v>700</v>
      </c>
      <c r="E7" s="99" t="s">
        <v>3</v>
      </c>
      <c r="F7" s="100">
        <f>Saveing</f>
        <v>700</v>
      </c>
      <c r="H7" s="115"/>
      <c r="I7" s="36"/>
    </row>
    <row r="8" spans="2:9" ht="12.75">
      <c r="B8" s="35"/>
      <c r="C8" s="44" t="s">
        <v>66</v>
      </c>
      <c r="D8" s="133">
        <v>0.35</v>
      </c>
      <c r="E8" s="101" t="s">
        <v>11</v>
      </c>
      <c r="F8" s="102">
        <f>IncInt</f>
        <v>0.35</v>
      </c>
      <c r="G8" s="11"/>
      <c r="H8" s="116"/>
      <c r="I8" s="36"/>
    </row>
    <row r="9" spans="2:9" ht="12.75">
      <c r="B9" s="35"/>
      <c r="C9" s="44" t="s">
        <v>67</v>
      </c>
      <c r="D9" s="111">
        <v>5</v>
      </c>
      <c r="E9" s="101" t="s">
        <v>12</v>
      </c>
      <c r="F9" s="103">
        <f>LiveInApt</f>
        <v>5</v>
      </c>
      <c r="G9" s="11" t="s">
        <v>69</v>
      </c>
      <c r="H9" s="116"/>
      <c r="I9" s="36"/>
    </row>
    <row r="10" spans="2:9" ht="12.75">
      <c r="B10" s="35"/>
      <c r="C10" s="48" t="s">
        <v>45</v>
      </c>
      <c r="D10" s="48">
        <v>30</v>
      </c>
      <c r="E10" s="104" t="s">
        <v>46</v>
      </c>
      <c r="F10" s="105">
        <f>MortgageLen</f>
        <v>30</v>
      </c>
      <c r="G10" s="11" t="s">
        <v>69</v>
      </c>
      <c r="H10" s="116" t="s">
        <v>74</v>
      </c>
      <c r="I10" s="36"/>
    </row>
    <row r="11" spans="2:9" ht="12.75">
      <c r="B11" s="35"/>
      <c r="C11" s="44" t="s">
        <v>68</v>
      </c>
      <c r="D11" s="111">
        <v>35</v>
      </c>
      <c r="E11" s="101" t="s">
        <v>13</v>
      </c>
      <c r="F11" s="103">
        <f>IF(D11&lt;D10,D10,D11)</f>
        <v>35</v>
      </c>
      <c r="G11" s="11" t="s">
        <v>69</v>
      </c>
      <c r="H11" s="116"/>
      <c r="I11" s="36"/>
    </row>
    <row r="12" spans="2:14" s="16" customFormat="1" ht="12.75">
      <c r="B12" s="94"/>
      <c r="C12" s="95"/>
      <c r="D12" s="93"/>
      <c r="E12" s="93"/>
      <c r="F12" s="93"/>
      <c r="G12" s="93"/>
      <c r="H12" s="117"/>
      <c r="I12" s="96"/>
      <c r="J12" s="10"/>
      <c r="K12" s="9"/>
      <c r="L12" s="9"/>
      <c r="M12" s="9"/>
      <c r="N12" s="9"/>
    </row>
    <row r="13" spans="2:14" s="16" customFormat="1" ht="12.75">
      <c r="B13" s="35"/>
      <c r="C13" s="46" t="s">
        <v>60</v>
      </c>
      <c r="D13" s="42"/>
      <c r="E13" s="31"/>
      <c r="F13" s="31"/>
      <c r="G13" s="31"/>
      <c r="H13" s="117"/>
      <c r="I13" s="96"/>
      <c r="J13" s="10"/>
      <c r="K13" s="9"/>
      <c r="L13" s="9"/>
      <c r="M13" s="9"/>
      <c r="N13" s="9"/>
    </row>
    <row r="14" spans="2:14" s="16" customFormat="1" ht="12.75">
      <c r="B14" s="35"/>
      <c r="C14" s="44" t="s">
        <v>70</v>
      </c>
      <c r="D14" s="134">
        <v>0.02</v>
      </c>
      <c r="E14" s="108" t="s">
        <v>5</v>
      </c>
      <c r="F14" s="108">
        <f>HouseMaint</f>
        <v>0.02</v>
      </c>
      <c r="G14" s="2"/>
      <c r="H14" s="117"/>
      <c r="I14" s="96"/>
      <c r="J14" s="17"/>
      <c r="K14" s="10"/>
      <c r="L14" s="10"/>
      <c r="M14" s="10"/>
      <c r="N14" s="10"/>
    </row>
    <row r="15" spans="2:9" ht="12.75">
      <c r="B15" s="35"/>
      <c r="C15" s="44" t="s">
        <v>71</v>
      </c>
      <c r="D15" s="133">
        <v>0.011</v>
      </c>
      <c r="E15" s="108" t="s">
        <v>6</v>
      </c>
      <c r="F15" s="102">
        <f>PropertyTax</f>
        <v>0.011</v>
      </c>
      <c r="H15" s="115" t="s">
        <v>75</v>
      </c>
      <c r="I15" s="36"/>
    </row>
    <row r="16" spans="2:9" ht="12.75">
      <c r="B16" s="35"/>
      <c r="C16" s="44" t="s">
        <v>88</v>
      </c>
      <c r="D16" s="133">
        <v>0.05</v>
      </c>
      <c r="E16" s="108"/>
      <c r="F16" s="102"/>
      <c r="H16" s="115"/>
      <c r="I16" s="36"/>
    </row>
    <row r="17" spans="2:9" ht="12.75">
      <c r="B17" s="35"/>
      <c r="C17" s="44" t="s">
        <v>72</v>
      </c>
      <c r="D17" s="133">
        <v>0.2</v>
      </c>
      <c r="E17" s="108" t="s">
        <v>23</v>
      </c>
      <c r="F17" s="102">
        <f>PMIThreshold</f>
        <v>0.2</v>
      </c>
      <c r="H17" s="115" t="s">
        <v>76</v>
      </c>
      <c r="I17" s="36"/>
    </row>
    <row r="18" spans="2:9" ht="12.75">
      <c r="B18" s="35"/>
      <c r="C18" s="44" t="s">
        <v>84</v>
      </c>
      <c r="D18" s="133">
        <v>0.05</v>
      </c>
      <c r="E18" s="108" t="s">
        <v>22</v>
      </c>
      <c r="F18" s="100">
        <f>PMIRate</f>
        <v>0.05</v>
      </c>
      <c r="H18" s="115"/>
      <c r="I18" s="36"/>
    </row>
    <row r="19" spans="2:9" ht="12.75">
      <c r="B19" s="35"/>
      <c r="C19" s="44" t="s">
        <v>85</v>
      </c>
      <c r="D19" s="133">
        <v>0.1</v>
      </c>
      <c r="E19" s="108"/>
      <c r="F19" s="100"/>
      <c r="H19" s="115"/>
      <c r="I19" s="36"/>
    </row>
    <row r="20" spans="2:9" ht="12.75">
      <c r="B20" s="35"/>
      <c r="C20" s="44" t="s">
        <v>87</v>
      </c>
      <c r="D20" s="109">
        <v>15</v>
      </c>
      <c r="E20" s="108"/>
      <c r="F20" s="100"/>
      <c r="H20" s="115"/>
      <c r="I20" s="36"/>
    </row>
    <row r="21" spans="2:9" ht="12.75">
      <c r="B21" s="35"/>
      <c r="C21" s="44" t="s">
        <v>17</v>
      </c>
      <c r="D21" s="133">
        <v>0.1</v>
      </c>
      <c r="E21" s="101" t="s">
        <v>9</v>
      </c>
      <c r="F21" s="102">
        <f>HInvRet</f>
        <v>0.1</v>
      </c>
      <c r="H21" s="115" t="s">
        <v>77</v>
      </c>
      <c r="I21" s="36"/>
    </row>
    <row r="22" spans="2:9" ht="12.75">
      <c r="B22" s="35"/>
      <c r="C22" s="44" t="s">
        <v>73</v>
      </c>
      <c r="D22" s="133">
        <v>0.03</v>
      </c>
      <c r="E22" s="106" t="s">
        <v>36</v>
      </c>
      <c r="F22" s="107">
        <f>HouseImprov</f>
        <v>0.03</v>
      </c>
      <c r="H22" s="115" t="s">
        <v>78</v>
      </c>
      <c r="I22" s="36"/>
    </row>
    <row r="23" spans="2:9" ht="13.5" thickBot="1">
      <c r="B23" s="37"/>
      <c r="C23" s="38"/>
      <c r="D23" s="38"/>
      <c r="E23" s="38"/>
      <c r="F23" s="38"/>
      <c r="G23" s="38"/>
      <c r="H23" s="112"/>
      <c r="I23" s="39"/>
    </row>
    <row r="24" spans="2:9" ht="12.75">
      <c r="B24" s="32"/>
      <c r="C24" s="33"/>
      <c r="D24" s="33"/>
      <c r="E24" s="33"/>
      <c r="F24" s="33"/>
      <c r="G24" s="33"/>
      <c r="H24" s="113"/>
      <c r="I24" s="34"/>
    </row>
    <row r="25" spans="2:9" ht="12.75">
      <c r="B25" s="35"/>
      <c r="C25" s="46" t="s">
        <v>7</v>
      </c>
      <c r="D25" s="43"/>
      <c r="G25" s="31"/>
      <c r="H25" s="114"/>
      <c r="I25" s="36"/>
    </row>
    <row r="26" spans="2:9" ht="12.75">
      <c r="B26" s="35"/>
      <c r="C26" s="119" t="s">
        <v>8</v>
      </c>
      <c r="D26" s="120"/>
      <c r="G26" s="31"/>
      <c r="H26" s="114"/>
      <c r="I26" s="36"/>
    </row>
    <row r="27" spans="2:9" ht="12.75">
      <c r="B27" s="35"/>
      <c r="C27" s="119" t="s">
        <v>80</v>
      </c>
      <c r="D27" s="120"/>
      <c r="G27" s="31"/>
      <c r="H27" s="114"/>
      <c r="I27" s="36"/>
    </row>
    <row r="28" spans="2:9" ht="12.75">
      <c r="B28" s="35"/>
      <c r="C28" s="119" t="s">
        <v>79</v>
      </c>
      <c r="D28" s="120"/>
      <c r="G28" s="31"/>
      <c r="H28" s="114"/>
      <c r="I28" s="36"/>
    </row>
    <row r="29" spans="2:9" ht="13.5" thickBot="1">
      <c r="B29" s="37"/>
      <c r="C29" s="118"/>
      <c r="D29" s="38"/>
      <c r="E29" s="40"/>
      <c r="F29" s="40"/>
      <c r="G29" s="38"/>
      <c r="H29" s="112"/>
      <c r="I29" s="39"/>
    </row>
    <row r="31" ht="12.75">
      <c r="C31" s="2" t="s">
        <v>95</v>
      </c>
    </row>
    <row r="32" ht="12.75">
      <c r="C32" s="2" t="s">
        <v>96</v>
      </c>
    </row>
    <row r="33" ht="12.75">
      <c r="C33" s="142" t="s">
        <v>107</v>
      </c>
    </row>
    <row r="34" ht="12.75">
      <c r="C34" s="142" t="s">
        <v>106</v>
      </c>
    </row>
    <row r="35" ht="12.75">
      <c r="C35" s="142"/>
    </row>
    <row r="36" ht="12.75">
      <c r="C36" s="142"/>
    </row>
    <row r="37" ht="12.75">
      <c r="C37" s="6"/>
    </row>
    <row r="38" ht="12.75">
      <c r="C38" s="142" t="s">
        <v>108</v>
      </c>
    </row>
  </sheetData>
  <dataValidations count="17">
    <dataValidation type="decimal" allowBlank="1" showErrorMessage="1" errorTitle="Invalid Mortgage Rate" error="Please enter a valid Mortgage Rate.  The Mortgage rate is the percent of total house value charged on a yearly basis." sqref="D4">
      <formula1>0</formula1>
      <formula2>0.4</formula2>
    </dataValidation>
    <dataValidation type="whole" allowBlank="1" showErrorMessage="1" errorTitle="Invalid House Cost" error="Please enter a valid House Value.  The House value is the purchase value of the house including any closing costs or fees." sqref="D5">
      <formula1>0</formula1>
      <formula2>100000000</formula2>
    </dataValidation>
    <dataValidation type="whole" allowBlank="1" showErrorMessage="1" errorTitle="Invalid Rent" error="Please enter a valid Rent.  The Rent is the amount paid to live prior to the purchase of the house." sqref="D6">
      <formula1>0</formula1>
      <formula2>100000</formula2>
    </dataValidation>
    <dataValidation type="whole" allowBlank="1" showInputMessage="1" showErrorMessage="1" errorTitle="Invalid Savings" error="Please enter a valid Savings amount.  The Savings amount is the amount of monay you invest or save long term on a monthly basis." sqref="D7">
      <formula1>0</formula1>
      <formula2>100000</formula2>
    </dataValidation>
    <dataValidation type="decimal" allowBlank="1" showErrorMessage="1" errorTitle="Invalid Investment Return" error="Please enter a valid Investment Return.  The Investment Return is the percent return your investments get on an average yearly basis." sqref="D21">
      <formula1>0</formula1>
      <formula2>0.3</formula2>
    </dataValidation>
    <dataValidation type="decimal" allowBlank="1" showErrorMessage="1" errorTitle="Invalid Tax Rate" error="Please enter a valid Tax Rate.  The Yearly Income Tax Rate is the percent of your yearly income that is taken by the government." sqref="D8">
      <formula1>0</formula1>
      <formula2>0.7</formula2>
    </dataValidation>
    <dataValidation type="whole" allowBlank="1" showErrorMessage="1" errorTitle="Invalid Years In Apt" error="Please enter a valid Years In Apartment.  The Years In Apartment is the number of years you live in an apartment before purchasing a house." sqref="D9">
      <formula1>0</formula1>
      <formula2>100</formula2>
    </dataValidation>
    <dataValidation type="whole" allowBlank="1" showErrorMessage="1" errorTitle="Invalid Mortgage Length" error="Please enter a valid Mortgage length.  The Mortgage Length is how many years the bank loan is to pay off your house." sqref="D10">
      <formula1>0</formula1>
      <formula2>100</formula2>
    </dataValidation>
    <dataValidation type="whole" allowBlank="1" showErrorMessage="1" errorTitle="Invalid House Live Length" error="Please enter a valid House Live Length.  The House Live Length is how long you plan on living in the house.  This time period must be at least as long as your mortgage." sqref="D11">
      <formula1>D10</formula1>
      <formula2>100</formula2>
    </dataValidation>
    <dataValidation type="decimal" allowBlank="1" showErrorMessage="1" errorTitle="Invalid Maintenance Amount" error="Please enter a valid Maintenance Amount.  The Maintenance Amount is the percent of your houses value spent maintaining that value on a yearly basis." sqref="D14">
      <formula1>0</formula1>
      <formula2>0.5</formula2>
    </dataValidation>
    <dataValidation type="decimal" allowBlank="1" showErrorMessage="1" errorTitle="Invalid Property Tax" error="Please enter a valid Property Tax.  The Property Tax is the percent of your houses value that is assesed in taxes on a yearly basis." sqref="D15">
      <formula1>0</formula1>
      <formula2>0.3</formula2>
    </dataValidation>
    <dataValidation type="decimal" allowBlank="1" showErrorMessage="1" errorTitle="Invalid PMI Threshold" error="Please enter a valid PMI Threshold.  The PMI Threshold is the percent of the house value that must be used as a down payment to avoid PMI Insurance." sqref="D17">
      <formula1>0</formula1>
      <formula2>0.7</formula2>
    </dataValidation>
    <dataValidation type="decimal" allowBlank="1" showErrorMessage="1" errorTitle="Invalid PMI Percent" error="Please enter a valid PMI Rate between 0 and 70%.  The PMI percent is the percent of your monthly mortgage you must pay to have PMI.  You must have PMI if your down payment falls below the PMI Threshold." sqref="D18">
      <formula1>0</formula1>
      <formula2>0.7</formula2>
    </dataValidation>
    <dataValidation type="decimal" allowBlank="1" showErrorMessage="1" errorTitle="Invalid House Improvement" error="Please enter a valid House Improvement Rate.  The House Improvement Rate is the percent increase in house value on a yearly basis." sqref="D22">
      <formula1>0</formula1>
      <formula2>0.7</formula2>
    </dataValidation>
    <dataValidation type="decimal" allowBlank="1" showErrorMessage="1" errorTitle="Invalid Insurance Percent" error="Please enter a valid House Insuance Percent between 0 and 70%.  This is the amount of money paid monthly for house insurance." sqref="D19">
      <formula1>0</formula1>
      <formula2>0.7</formula2>
    </dataValidation>
    <dataValidation type="whole" allowBlank="1" showErrorMessage="1" errorTitle="Invalid Renters Insuance" error="Please enter a valid Renters Insuance between 0 and $500.  Renters Insuance is the amount of money paid each month to insure your apartment." sqref="D20">
      <formula1>0</formula1>
      <formula2>500</formula2>
    </dataValidation>
    <dataValidation type="decimal" allowBlank="1" showErrorMessage="1" errorTitle="Invalid Min Down Payment" error="Please enter a valid Down Payment 0 and 70%.  The Down Payment is the minimum amount of money that must be paid when the mortgage is established." sqref="D16">
      <formula1>0</formula1>
      <formula2>0.7</formula2>
    </dataValidation>
  </dataValidations>
  <printOptions/>
  <pageMargins left="0.74" right="0.29"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2"/>
  <dimension ref="B2:N23"/>
  <sheetViews>
    <sheetView workbookViewId="0" topLeftCell="A1">
      <selection activeCell="F3" sqref="F3"/>
    </sheetView>
  </sheetViews>
  <sheetFormatPr defaultColWidth="9.140625" defaultRowHeight="12.75"/>
  <cols>
    <col min="1" max="2" width="3.140625" style="0" customWidth="1"/>
    <col min="3" max="3" width="30.7109375" style="0" customWidth="1"/>
    <col min="4" max="4" width="11.421875" style="0" customWidth="1"/>
    <col min="5" max="5" width="3.28125" style="0" customWidth="1"/>
    <col min="6" max="13" width="10.140625" style="0" bestFit="1" customWidth="1"/>
  </cols>
  <sheetData>
    <row r="2" spans="2:9" s="1" customFormat="1" ht="12.75">
      <c r="B2" s="136" t="s">
        <v>98</v>
      </c>
      <c r="C2" s="135"/>
      <c r="D2" s="122"/>
      <c r="E2" s="123"/>
      <c r="I2" s="1" t="s">
        <v>4</v>
      </c>
    </row>
    <row r="3" spans="2:9" s="1" customFormat="1" ht="12.75">
      <c r="B3" s="135" t="str">
        <f>"You live in an apartment for "&amp;D9&amp;" years.  Each month you "</f>
        <v>You live in an apartment for 40 years.  Each month you </v>
      </c>
      <c r="C3" s="122"/>
      <c r="D3" s="122"/>
      <c r="E3" s="123"/>
      <c r="I3" s="1" t="s">
        <v>4</v>
      </c>
    </row>
    <row r="4" spans="2:9" s="1" customFormat="1" ht="12.75">
      <c r="B4" s="139" t="str">
        <f>"invest $"&amp;Saveing&amp;" in long term savings."</f>
        <v>invest $700 in long term savings.</v>
      </c>
      <c r="C4" s="140"/>
      <c r="D4" s="140"/>
      <c r="E4" s="141"/>
      <c r="I4" s="1" t="s">
        <v>4</v>
      </c>
    </row>
    <row r="5" spans="2:5" s="1" customFormat="1" ht="12.75">
      <c r="B5" s="2"/>
      <c r="C5" s="2"/>
      <c r="D5" s="2"/>
      <c r="E5" s="2"/>
    </row>
    <row r="6" ht="13.5" thickBot="1"/>
    <row r="7" spans="2:5" ht="12.75">
      <c r="B7" s="32"/>
      <c r="C7" s="33"/>
      <c r="D7" s="33"/>
      <c r="E7" s="34"/>
    </row>
    <row r="8" spans="2:8" s="1" customFormat="1" ht="12.75">
      <c r="B8" s="35"/>
      <c r="C8" s="45" t="str">
        <f>"Live In Apt For "&amp;D9&amp;" Years"</f>
        <v>Live In Apt For 40 Years</v>
      </c>
      <c r="D8" s="63"/>
      <c r="E8" s="53"/>
      <c r="F8" s="12"/>
      <c r="G8" s="12"/>
      <c r="H8" s="13"/>
    </row>
    <row r="9" spans="2:8" s="1" customFormat="1" ht="12.75">
      <c r="B9" s="35"/>
      <c r="C9" s="48" t="s">
        <v>14</v>
      </c>
      <c r="D9" s="62">
        <f>LiveInApt+LiveInHouse</f>
        <v>40</v>
      </c>
      <c r="E9" s="53"/>
      <c r="F9" s="12"/>
      <c r="G9" s="12"/>
      <c r="H9" s="13"/>
    </row>
    <row r="10" spans="2:8" s="1" customFormat="1" ht="12.75">
      <c r="B10" s="35"/>
      <c r="C10" s="41"/>
      <c r="D10" s="47"/>
      <c r="E10" s="53"/>
      <c r="F10" s="12"/>
      <c r="G10" s="12"/>
      <c r="H10" s="13"/>
    </row>
    <row r="11" spans="2:6" s="1" customFormat="1" ht="12.75">
      <c r="B11" s="35"/>
      <c r="C11" s="64" t="s">
        <v>19</v>
      </c>
      <c r="D11" s="47"/>
      <c r="E11" s="53"/>
      <c r="F11" s="12"/>
    </row>
    <row r="12" spans="2:14" s="1" customFormat="1" ht="12.75">
      <c r="B12" s="35"/>
      <c r="C12" s="48" t="s">
        <v>86</v>
      </c>
      <c r="D12" s="49">
        <f>RentersIns</f>
        <v>15</v>
      </c>
      <c r="E12" s="54"/>
      <c r="F12" s="14"/>
      <c r="G12" s="14"/>
      <c r="H12" s="14"/>
      <c r="I12" s="14"/>
      <c r="J12" s="14"/>
      <c r="K12" s="14"/>
      <c r="L12" s="14"/>
      <c r="M12" s="14"/>
      <c r="N12" s="3"/>
    </row>
    <row r="13" spans="2:14" s="1" customFormat="1" ht="12.75">
      <c r="B13" s="35"/>
      <c r="C13" s="48" t="s">
        <v>16</v>
      </c>
      <c r="D13" s="49">
        <f>(Rent+D12)*12</f>
        <v>7080</v>
      </c>
      <c r="E13" s="54"/>
      <c r="F13" s="14"/>
      <c r="G13" s="14"/>
      <c r="H13" s="14"/>
      <c r="I13" s="14"/>
      <c r="J13" s="14"/>
      <c r="K13" s="14"/>
      <c r="L13" s="14"/>
      <c r="M13" s="14"/>
      <c r="N13" s="3"/>
    </row>
    <row r="14" spans="2:14" s="1" customFormat="1" ht="12.75">
      <c r="B14" s="35"/>
      <c r="C14" s="48" t="s">
        <v>15</v>
      </c>
      <c r="D14" s="49">
        <f>D13*D9</f>
        <v>283200</v>
      </c>
      <c r="E14" s="54"/>
      <c r="F14" s="14"/>
      <c r="G14" s="14"/>
      <c r="H14" s="14"/>
      <c r="I14" s="14"/>
      <c r="J14" s="14"/>
      <c r="K14" s="14"/>
      <c r="L14" s="14"/>
      <c r="M14" s="14"/>
      <c r="N14" s="3"/>
    </row>
    <row r="15" spans="2:14" s="1" customFormat="1" ht="12.75">
      <c r="B15" s="35"/>
      <c r="C15" s="41"/>
      <c r="D15" s="65"/>
      <c r="E15" s="54"/>
      <c r="F15" s="14"/>
      <c r="G15" s="14"/>
      <c r="H15" s="14"/>
      <c r="I15" s="14"/>
      <c r="J15" s="14"/>
      <c r="K15" s="14"/>
      <c r="L15" s="14"/>
      <c r="M15" s="14"/>
      <c r="N15" s="3"/>
    </row>
    <row r="16" spans="2:14" s="1" customFormat="1" ht="12.75">
      <c r="B16" s="35"/>
      <c r="C16" s="64" t="s">
        <v>20</v>
      </c>
      <c r="D16" s="65"/>
      <c r="E16" s="54"/>
      <c r="F16" s="14"/>
      <c r="G16" s="14"/>
      <c r="H16" s="14"/>
      <c r="I16" s="14"/>
      <c r="J16" s="14"/>
      <c r="K16" s="14"/>
      <c r="L16" s="14"/>
      <c r="M16" s="14"/>
      <c r="N16" s="3"/>
    </row>
    <row r="17" spans="2:13" s="1" customFormat="1" ht="12.75">
      <c r="B17" s="35"/>
      <c r="C17" s="44" t="s">
        <v>18</v>
      </c>
      <c r="D17" s="49">
        <f>Saveing-RentersIns</f>
        <v>685</v>
      </c>
      <c r="E17" s="55"/>
      <c r="F17" s="4"/>
      <c r="G17" s="4"/>
      <c r="H17" s="4"/>
      <c r="I17" s="4"/>
      <c r="J17" s="4"/>
      <c r="K17" s="4"/>
      <c r="L17" s="4"/>
      <c r="M17" s="4"/>
    </row>
    <row r="18" spans="2:13" s="7" customFormat="1" ht="12.75">
      <c r="B18" s="56"/>
      <c r="C18" s="50" t="str">
        <f>"Investement Return After "&amp;D9&amp;" Years"</f>
        <v>Investement Return After 40 Years</v>
      </c>
      <c r="D18" s="49">
        <f>FV(HInvRet/12,D9*12,D17)*-1</f>
        <v>4331994.512929836</v>
      </c>
      <c r="E18" s="57"/>
      <c r="F18" s="6"/>
      <c r="G18" s="6"/>
      <c r="H18" s="6"/>
      <c r="I18" s="6"/>
      <c r="J18" s="6"/>
      <c r="K18" s="6"/>
      <c r="L18" s="6"/>
      <c r="M18" s="6"/>
    </row>
    <row r="19" spans="2:13" s="7" customFormat="1" ht="12.75">
      <c r="B19" s="56"/>
      <c r="C19" s="50"/>
      <c r="D19" s="49"/>
      <c r="E19" s="57"/>
      <c r="F19" s="6"/>
      <c r="G19" s="6"/>
      <c r="H19" s="6"/>
      <c r="I19" s="6"/>
      <c r="J19" s="6"/>
      <c r="K19" s="6"/>
      <c r="L19" s="6"/>
      <c r="M19" s="6"/>
    </row>
    <row r="20" spans="2:13" s="1" customFormat="1" ht="12.75">
      <c r="B20" s="35"/>
      <c r="C20" s="66" t="s">
        <v>21</v>
      </c>
      <c r="D20" s="67"/>
      <c r="E20" s="58"/>
      <c r="F20" s="5"/>
      <c r="G20" s="5"/>
      <c r="H20" s="4"/>
      <c r="I20" s="4"/>
      <c r="J20" s="4"/>
      <c r="K20" s="4"/>
      <c r="L20" s="4"/>
      <c r="M20" s="4"/>
    </row>
    <row r="21" spans="2:13" s="1" customFormat="1" ht="12.75">
      <c r="B21" s="35"/>
      <c r="C21" s="51" t="str">
        <f>"Total Net Worth After "&amp;D9&amp;" Years"</f>
        <v>Total Net Worth After 40 Years</v>
      </c>
      <c r="D21" s="52">
        <f>D18</f>
        <v>4331994.512929836</v>
      </c>
      <c r="E21" s="57"/>
      <c r="F21" s="6"/>
      <c r="G21" s="6"/>
      <c r="H21" s="6"/>
      <c r="I21" s="6"/>
      <c r="J21" s="6"/>
      <c r="K21" s="6"/>
      <c r="L21" s="6"/>
      <c r="M21" s="6"/>
    </row>
    <row r="22" spans="2:7" s="1" customFormat="1" ht="13.5" thickBot="1">
      <c r="B22" s="37"/>
      <c r="C22" s="59"/>
      <c r="D22" s="60"/>
      <c r="E22" s="61"/>
      <c r="F22" s="5"/>
      <c r="G22" s="11"/>
    </row>
    <row r="23" ht="12.75">
      <c r="D23" s="1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B1:L78"/>
  <sheetViews>
    <sheetView workbookViewId="0" topLeftCell="A13">
      <selection activeCell="H21" sqref="H21:H26"/>
    </sheetView>
  </sheetViews>
  <sheetFormatPr defaultColWidth="9.140625" defaultRowHeight="12.75"/>
  <cols>
    <col min="1" max="1" width="3.57421875" style="1" customWidth="1"/>
    <col min="2" max="2" width="3.140625" style="1" customWidth="1"/>
    <col min="3" max="3" width="43.140625" style="1" bestFit="1" customWidth="1"/>
    <col min="4" max="4" width="11.7109375" style="1" customWidth="1"/>
    <col min="5" max="5" width="11.421875" style="1" bestFit="1" customWidth="1"/>
    <col min="6" max="6" width="3.140625" style="1" customWidth="1"/>
    <col min="7" max="16384" width="9.140625" style="1" customWidth="1"/>
  </cols>
  <sheetData>
    <row r="1" ht="12.75">
      <c r="I1" s="1" t="s">
        <v>4</v>
      </c>
    </row>
    <row r="2" spans="2:9" ht="12.75">
      <c r="B2" s="136" t="s">
        <v>98</v>
      </c>
      <c r="C2" s="135"/>
      <c r="D2" s="122"/>
      <c r="E2" s="123"/>
      <c r="I2" s="1" t="s">
        <v>4</v>
      </c>
    </row>
    <row r="3" spans="2:9" ht="12.75">
      <c r="B3" s="135" t="str">
        <f>IF(LiveInApt=0,D74,C74)</f>
        <v>You live in an apartment for 5 years, investing $700 a month.  You then purchase</v>
      </c>
      <c r="C3" s="122"/>
      <c r="D3" s="122"/>
      <c r="E3" s="123"/>
      <c r="I3" s="1" t="s">
        <v>4</v>
      </c>
    </row>
    <row r="4" spans="2:9" ht="12.75">
      <c r="B4" s="137" t="str">
        <f>IF(LiveInApt=0,D75,C75)</f>
        <v>a house costing $120000, paying the minimum down payment.   Each month</v>
      </c>
      <c r="C4" s="2"/>
      <c r="D4" s="2"/>
      <c r="E4" s="138"/>
      <c r="I4" s="1" t="s">
        <v>4</v>
      </c>
    </row>
    <row r="5" spans="2:9" ht="12.75">
      <c r="B5" s="137" t="str">
        <f>IF(LiveInApt=0,D76,C76)</f>
        <v>you pay the minimum mortgage, and invest the remaining funds in long term</v>
      </c>
      <c r="C5" s="2"/>
      <c r="D5" s="2"/>
      <c r="E5" s="138"/>
      <c r="I5" s="1" t="s">
        <v>4</v>
      </c>
    </row>
    <row r="6" spans="2:5" ht="12.75">
      <c r="B6" s="137" t="str">
        <f>IF(LiveInApt=0,D77,C77)</f>
        <v>savings.  After 30 years you own the house.  You then put the amount you were</v>
      </c>
      <c r="C6" s="2"/>
      <c r="D6" s="2"/>
      <c r="E6" s="138"/>
    </row>
    <row r="7" spans="2:5" ht="12.75">
      <c r="B7" s="139" t="str">
        <f>IF(LiveInApt=0,D78,C78)</f>
        <v>paying to your mortgage and the amount you were saving into long term savings.</v>
      </c>
      <c r="C7" s="140"/>
      <c r="D7" s="140"/>
      <c r="E7" s="141"/>
    </row>
    <row r="9" ht="13.5" thickBot="1"/>
    <row r="10" spans="2:6" ht="12.75">
      <c r="B10" s="32"/>
      <c r="C10" s="33"/>
      <c r="D10" s="33"/>
      <c r="E10" s="33"/>
      <c r="F10" s="34"/>
    </row>
    <row r="11" spans="2:12" s="4" customFormat="1" ht="12.75">
      <c r="B11" s="68"/>
      <c r="C11" s="131" t="s">
        <v>10</v>
      </c>
      <c r="D11" s="77" t="s">
        <v>26</v>
      </c>
      <c r="E11" s="77" t="s">
        <v>25</v>
      </c>
      <c r="F11" s="69"/>
      <c r="G11" s="8"/>
      <c r="H11" s="8"/>
      <c r="I11" s="8"/>
      <c r="J11" s="8"/>
      <c r="K11" s="8"/>
      <c r="L11" s="6"/>
    </row>
    <row r="12" spans="2:12" s="4" customFormat="1" ht="12.75">
      <c r="B12" s="68"/>
      <c r="C12" s="76" t="s">
        <v>24</v>
      </c>
      <c r="D12" s="77"/>
      <c r="E12" s="77"/>
      <c r="F12" s="69"/>
      <c r="G12" s="8"/>
      <c r="H12" s="8"/>
      <c r="I12" s="8"/>
      <c r="J12" s="8"/>
      <c r="K12" s="8"/>
      <c r="L12" s="6"/>
    </row>
    <row r="13" spans="2:6" ht="12.75">
      <c r="B13" s="35"/>
      <c r="C13" s="48" t="s">
        <v>14</v>
      </c>
      <c r="D13" s="78">
        <f>LiveInApt</f>
        <v>5</v>
      </c>
      <c r="E13" s="78">
        <f>LiveInApt</f>
        <v>5</v>
      </c>
      <c r="F13" s="53"/>
    </row>
    <row r="14" spans="2:6" ht="12.75">
      <c r="B14" s="35"/>
      <c r="C14" s="41"/>
      <c r="D14" s="47"/>
      <c r="E14" s="47"/>
      <c r="F14" s="53"/>
    </row>
    <row r="15" spans="2:6" ht="12.75">
      <c r="B15" s="35"/>
      <c r="C15" s="41" t="s">
        <v>19</v>
      </c>
      <c r="D15" s="47"/>
      <c r="E15" s="47"/>
      <c r="F15" s="53"/>
    </row>
    <row r="16" spans="2:12" ht="12.75">
      <c r="B16" s="35"/>
      <c r="C16" s="48" t="s">
        <v>16</v>
      </c>
      <c r="D16" s="49">
        <f>Rent*12</f>
        <v>6900</v>
      </c>
      <c r="E16" s="49">
        <f>Rent*12</f>
        <v>6900</v>
      </c>
      <c r="F16" s="54"/>
      <c r="G16" s="14"/>
      <c r="H16" s="14"/>
      <c r="I16" s="14"/>
      <c r="J16" s="14"/>
      <c r="K16" s="14"/>
      <c r="L16" s="3"/>
    </row>
    <row r="17" spans="2:12" ht="12.75">
      <c r="B17" s="35"/>
      <c r="C17" s="48" t="s">
        <v>51</v>
      </c>
      <c r="D17" s="49">
        <f>D16*D13</f>
        <v>34500</v>
      </c>
      <c r="E17" s="49">
        <f>E16*E13</f>
        <v>34500</v>
      </c>
      <c r="F17" s="54" t="s">
        <v>4</v>
      </c>
      <c r="G17" s="14"/>
      <c r="H17" s="14"/>
      <c r="I17" s="14"/>
      <c r="J17" s="14"/>
      <c r="K17" s="14"/>
      <c r="L17" s="3"/>
    </row>
    <row r="18" spans="2:12" ht="12.75">
      <c r="B18" s="35"/>
      <c r="C18" s="41"/>
      <c r="D18" s="65"/>
      <c r="E18" s="65"/>
      <c r="F18" s="54"/>
      <c r="G18" s="14"/>
      <c r="H18" s="14"/>
      <c r="I18" s="14"/>
      <c r="J18" s="14"/>
      <c r="K18" s="14"/>
      <c r="L18" s="3"/>
    </row>
    <row r="19" spans="2:12" ht="12.75">
      <c r="B19" s="35"/>
      <c r="C19" s="41" t="s">
        <v>20</v>
      </c>
      <c r="D19" s="65"/>
      <c r="E19" s="65"/>
      <c r="F19" s="54"/>
      <c r="G19" s="14"/>
      <c r="H19" s="14"/>
      <c r="I19" s="14"/>
      <c r="J19" s="14"/>
      <c r="K19" s="14"/>
      <c r="L19" s="3"/>
    </row>
    <row r="20" spans="2:11" ht="12.75">
      <c r="B20" s="35"/>
      <c r="C20" s="44" t="s">
        <v>50</v>
      </c>
      <c r="D20" s="49">
        <f>Saveing-RentersIns</f>
        <v>685</v>
      </c>
      <c r="E20" s="49">
        <f>Saveing-RentersIns</f>
        <v>685</v>
      </c>
      <c r="F20" s="55"/>
      <c r="G20" s="4"/>
      <c r="H20" s="4"/>
      <c r="I20" s="4"/>
      <c r="J20" s="4"/>
      <c r="K20" s="4"/>
    </row>
    <row r="21" spans="2:11" s="7" customFormat="1" ht="12.75">
      <c r="B21" s="56"/>
      <c r="C21" s="50" t="str">
        <f>"Pre-Mortgage Investement Return After "&amp;D13&amp;" Years"</f>
        <v>Pre-Mortgage Investement Return After 5 Years</v>
      </c>
      <c r="D21" s="49">
        <f>FV(HInvRet/12,D13*12,D20)*-1</f>
        <v>53044.39443879967</v>
      </c>
      <c r="E21" s="49">
        <f>FV(HInvRet/12,E13*12,E20)*-1</f>
        <v>53044.39443879967</v>
      </c>
      <c r="F21" s="57"/>
      <c r="G21" s="6"/>
      <c r="I21" s="6"/>
      <c r="J21" s="6"/>
      <c r="K21" s="6"/>
    </row>
    <row r="22" spans="2:11" s="7" customFormat="1" ht="12.75">
      <c r="B22" s="56"/>
      <c r="C22" s="79"/>
      <c r="D22" s="65"/>
      <c r="E22" s="80"/>
      <c r="F22" s="57"/>
      <c r="G22" s="6"/>
      <c r="I22" s="6"/>
      <c r="J22" s="6"/>
      <c r="K22" s="6"/>
    </row>
    <row r="23" spans="2:11" s="7" customFormat="1" ht="12.75">
      <c r="B23" s="56"/>
      <c r="C23" s="79" t="s">
        <v>27</v>
      </c>
      <c r="D23" s="65"/>
      <c r="E23" s="81"/>
      <c r="F23" s="57"/>
      <c r="G23" s="6"/>
      <c r="I23" s="6"/>
      <c r="J23" s="6"/>
      <c r="K23" s="6"/>
    </row>
    <row r="24" spans="2:11" s="7" customFormat="1" ht="12.75">
      <c r="B24" s="56"/>
      <c r="C24" s="50" t="s">
        <v>29</v>
      </c>
      <c r="D24" s="49">
        <f>House*PMIThreshold</f>
        <v>24000</v>
      </c>
      <c r="E24" s="82">
        <f>0</f>
        <v>0</v>
      </c>
      <c r="F24" s="57"/>
      <c r="G24" s="6"/>
      <c r="I24" s="6"/>
      <c r="J24" s="6"/>
      <c r="K24" s="6"/>
    </row>
    <row r="25" spans="2:11" s="7" customFormat="1" ht="12.75">
      <c r="B25" s="56"/>
      <c r="C25" s="50" t="s">
        <v>89</v>
      </c>
      <c r="D25" s="49">
        <f>MinDPPerc*House</f>
        <v>6000</v>
      </c>
      <c r="E25" s="49">
        <f>MinDPPerc*House</f>
        <v>6000</v>
      </c>
      <c r="F25" s="57"/>
      <c r="G25" s="6"/>
      <c r="I25" s="6"/>
      <c r="J25" s="6"/>
      <c r="K25" s="6"/>
    </row>
    <row r="26" spans="2:11" s="7" customFormat="1" ht="12.75">
      <c r="B26" s="56"/>
      <c r="C26" s="50" t="s">
        <v>28</v>
      </c>
      <c r="D26" s="49">
        <f>IF(D68=1,"Need DP",IF(D69=1,"Need PMI",D21-MAX(D24,D25)))</f>
        <v>29044.394438799667</v>
      </c>
      <c r="E26" s="49">
        <f>IF(E68=1,"Need DP",E21-MAX(E25,E24))</f>
        <v>47044.39443879967</v>
      </c>
      <c r="F26" s="57"/>
      <c r="G26" s="6"/>
      <c r="I26" s="6"/>
      <c r="J26" s="6"/>
      <c r="K26" s="6"/>
    </row>
    <row r="27" spans="2:11" s="7" customFormat="1" ht="12.75">
      <c r="B27" s="56"/>
      <c r="C27" s="50" t="str">
        <f>"Currently Invested Return After "&amp;LiveInHouse&amp;" Years"</f>
        <v>Currently Invested Return After 35 Years</v>
      </c>
      <c r="D27" s="49">
        <f>IF(OR(D68=1,D69=1),"",D26*((1+HInvRet)^LiveInHouse))</f>
        <v>816218.2605066381</v>
      </c>
      <c r="E27" s="49">
        <f>IF(D68=1,"",E26*((1+HInvRet)^LiveInHouse))</f>
        <v>1322062.1237717958</v>
      </c>
      <c r="F27" s="57"/>
      <c r="G27" s="6"/>
      <c r="H27" s="6"/>
      <c r="I27" s="6"/>
      <c r="J27" s="6"/>
      <c r="K27" s="6"/>
    </row>
    <row r="28" spans="2:11" s="7" customFormat="1" ht="12.75">
      <c r="B28" s="56"/>
      <c r="C28" s="79"/>
      <c r="D28" s="65"/>
      <c r="E28" s="81"/>
      <c r="F28" s="57"/>
      <c r="G28" s="6"/>
      <c r="H28" s="6"/>
      <c r="I28" s="6"/>
      <c r="J28" s="6"/>
      <c r="K28" s="6"/>
    </row>
    <row r="29" spans="2:11" s="7" customFormat="1" ht="12.75">
      <c r="B29" s="56"/>
      <c r="C29" s="79" t="s">
        <v>42</v>
      </c>
      <c r="D29" s="65"/>
      <c r="E29" s="81"/>
      <c r="F29" s="57"/>
      <c r="G29" s="6"/>
      <c r="H29" s="6"/>
      <c r="I29" s="6"/>
      <c r="J29" s="6"/>
      <c r="K29" s="6"/>
    </row>
    <row r="30" spans="2:11" s="7" customFormat="1" ht="12.75">
      <c r="B30" s="56"/>
      <c r="C30" s="50" t="s">
        <v>41</v>
      </c>
      <c r="D30" s="49">
        <f>IF(OR(D68=1,D69=1),"",House-MAX(D25,D24))</f>
        <v>96000</v>
      </c>
      <c r="E30" s="82">
        <f>IF(D68=1,"",House-MAX(E25,E24))</f>
        <v>114000</v>
      </c>
      <c r="F30" s="57"/>
      <c r="G30" s="6"/>
      <c r="H30" s="6"/>
      <c r="I30" s="6"/>
      <c r="J30" s="6"/>
      <c r="K30" s="6"/>
    </row>
    <row r="31" spans="2:11" s="7" customFormat="1" ht="12.75">
      <c r="B31" s="56"/>
      <c r="C31" s="50" t="s">
        <v>30</v>
      </c>
      <c r="D31" s="83">
        <f>IF(OR(D68=1,D69=1),"",MortgageLen)</f>
        <v>30</v>
      </c>
      <c r="E31" s="84">
        <f>IF(D68=1,"",MortgageLen)</f>
        <v>30</v>
      </c>
      <c r="F31" s="57"/>
      <c r="G31" s="6"/>
      <c r="H31" s="6"/>
      <c r="I31" s="6"/>
      <c r="J31" s="6"/>
      <c r="K31" s="6"/>
    </row>
    <row r="32" spans="2:11" s="7" customFormat="1" ht="12.75">
      <c r="B32" s="56"/>
      <c r="C32" s="79"/>
      <c r="D32" s="85"/>
      <c r="E32" s="86"/>
      <c r="F32" s="57"/>
      <c r="G32" s="6"/>
      <c r="H32" s="6"/>
      <c r="I32" s="6"/>
      <c r="J32" s="6"/>
      <c r="K32" s="6"/>
    </row>
    <row r="33" spans="2:11" s="7" customFormat="1" ht="12.75">
      <c r="B33" s="56"/>
      <c r="C33" s="79" t="s">
        <v>48</v>
      </c>
      <c r="D33" s="85"/>
      <c r="E33" s="86"/>
      <c r="F33" s="57"/>
      <c r="I33" s="6"/>
      <c r="J33" s="6"/>
      <c r="K33" s="6"/>
    </row>
    <row r="34" spans="2:11" s="7" customFormat="1" ht="12.75">
      <c r="B34" s="56"/>
      <c r="C34" s="50" t="s">
        <v>31</v>
      </c>
      <c r="D34" s="87">
        <f>IF(OR(D68=1,D69=1),"",PMT(Interest/12,D31*12,D30))</f>
        <v>-575.5685041466485</v>
      </c>
      <c r="E34" s="49">
        <f>IF(D68=1,"",PMT(Interest/12,E31*12,E30))</f>
        <v>-683.4875986741453</v>
      </c>
      <c r="F34" s="57"/>
      <c r="G34" s="6"/>
      <c r="H34" s="6"/>
      <c r="I34" s="6"/>
      <c r="J34" s="6"/>
      <c r="K34" s="6"/>
    </row>
    <row r="35" spans="2:11" s="7" customFormat="1" ht="12.75">
      <c r="B35" s="56"/>
      <c r="C35" s="50" t="s">
        <v>97</v>
      </c>
      <c r="D35" s="87">
        <f>IF(OR(D68=1,D69=1),"",(D34*-12*IncInt))</f>
        <v>2417.3877174159234</v>
      </c>
      <c r="E35" s="87">
        <f>IF(OR(E68=1,E69=1),"",(E34*-12*IncInt))</f>
        <v>2870.64791443141</v>
      </c>
      <c r="F35" s="57"/>
      <c r="G35" s="6"/>
      <c r="H35" s="6"/>
      <c r="I35" s="6"/>
      <c r="J35" s="6"/>
      <c r="K35" s="6"/>
    </row>
    <row r="36" spans="2:11" s="7" customFormat="1" ht="12.75">
      <c r="B36" s="56"/>
      <c r="C36" s="50" t="s">
        <v>47</v>
      </c>
      <c r="D36" s="49">
        <f>IF(OR(D68=1,D69=1),"",(D34*-12*IncInt)/12)</f>
        <v>201.44897645132696</v>
      </c>
      <c r="E36" s="49">
        <f>IF(D68=1,"",(E34*-12*IncInt)/12)</f>
        <v>239.22065953595083</v>
      </c>
      <c r="F36" s="57"/>
      <c r="G36" s="6"/>
      <c r="H36" s="6"/>
      <c r="I36" s="6"/>
      <c r="J36" s="6"/>
      <c r="K36" s="6"/>
    </row>
    <row r="37" spans="2:11" s="7" customFormat="1" ht="12.75">
      <c r="B37" s="56"/>
      <c r="C37" s="50" t="s">
        <v>52</v>
      </c>
      <c r="D37" s="49">
        <f>IF(OR(D68=1,D69=1),"",(House*PropertyTax)/-12)</f>
        <v>-110</v>
      </c>
      <c r="E37" s="49">
        <f>IF(D68=1,"",(House*PropertyTax)/-12)</f>
        <v>-110</v>
      </c>
      <c r="F37" s="57"/>
      <c r="G37" s="6"/>
      <c r="H37" s="6"/>
      <c r="I37" s="6"/>
      <c r="J37" s="6"/>
      <c r="K37" s="6"/>
    </row>
    <row r="38" spans="2:11" s="7" customFormat="1" ht="12.75">
      <c r="B38" s="56"/>
      <c r="C38" s="50" t="s">
        <v>32</v>
      </c>
      <c r="D38" s="49">
        <f>IF(OR(D68=1,D69=1),"",(House*HouseMaint)/-12)</f>
        <v>-200</v>
      </c>
      <c r="E38" s="49">
        <f>IF(D68=1,"",(House*HouseMaint)/-12)</f>
        <v>-200</v>
      </c>
      <c r="F38" s="57"/>
      <c r="G38" s="6"/>
      <c r="H38" s="6"/>
      <c r="I38" s="6"/>
      <c r="J38" s="6"/>
      <c r="K38" s="6"/>
    </row>
    <row r="39" spans="2:11" s="7" customFormat="1" ht="12.75">
      <c r="B39" s="56"/>
      <c r="C39" s="50" t="s">
        <v>91</v>
      </c>
      <c r="D39" s="49">
        <f>IF(OR(D68=1,D69=1),"",D34*HouseInsPerc)</f>
        <v>-57.55685041466485</v>
      </c>
      <c r="E39" s="49">
        <f>IF(E68=1,"",E34*HouseInsPerc)</f>
        <v>-68.34875986741453</v>
      </c>
      <c r="F39" s="57"/>
      <c r="G39" s="6"/>
      <c r="H39" s="6"/>
      <c r="I39" s="6"/>
      <c r="J39" s="6"/>
      <c r="K39" s="6"/>
    </row>
    <row r="40" spans="2:11" s="7" customFormat="1" ht="12.75">
      <c r="B40" s="56"/>
      <c r="C40" s="50" t="s">
        <v>33</v>
      </c>
      <c r="D40" s="49">
        <f>IF(OR(D68=1,D69=1),"",0)</f>
        <v>0</v>
      </c>
      <c r="E40" s="82">
        <f>IF(D68=1,"",PMIRate*E34)</f>
        <v>-34.174379933707264</v>
      </c>
      <c r="F40" s="57"/>
      <c r="G40" s="6"/>
      <c r="H40" s="6"/>
      <c r="I40" s="6"/>
      <c r="J40" s="6"/>
      <c r="K40" s="6"/>
    </row>
    <row r="41" spans="2:11" s="7" customFormat="1" ht="12.75">
      <c r="B41" s="56"/>
      <c r="C41" s="50" t="s">
        <v>35</v>
      </c>
      <c r="D41" s="49">
        <f>IF(OR(D68=1,D69=1),"",Rent+Saveing)</f>
        <v>1275</v>
      </c>
      <c r="E41" s="82">
        <f>IF(D68=1,"",Rent+Saveing)</f>
        <v>1275</v>
      </c>
      <c r="F41" s="57"/>
      <c r="G41" s="6"/>
      <c r="H41" s="6"/>
      <c r="I41" s="6"/>
      <c r="J41" s="6"/>
      <c r="K41" s="6"/>
    </row>
    <row r="42" spans="2:11" s="7" customFormat="1" ht="12.75">
      <c r="B42" s="56"/>
      <c r="C42" s="89" t="s">
        <v>82</v>
      </c>
      <c r="D42" s="52">
        <f>IF(OR(D68=1,D69=1),"",-D34-SUM(D36:D40))</f>
        <v>741.6763781099864</v>
      </c>
      <c r="E42" s="52">
        <f>IF(D68=1,"",-E34-SUM(E36:E40))</f>
        <v>856.7900789393162</v>
      </c>
      <c r="F42" s="57"/>
      <c r="G42" s="6"/>
      <c r="H42" s="6"/>
      <c r="I42" s="6"/>
      <c r="J42" s="6"/>
      <c r="K42" s="6"/>
    </row>
    <row r="43" spans="2:11" s="7" customFormat="1" ht="12.75">
      <c r="B43" s="56"/>
      <c r="C43" s="89" t="s">
        <v>81</v>
      </c>
      <c r="D43" s="52">
        <f>IF(OR(D68=1,D69=1),"",-(D34+D37+D39+D40))</f>
        <v>743.1253545613133</v>
      </c>
      <c r="E43" s="52">
        <f>IF(D68=1,"",IF(E69=1,"",-(E34+E37+E39+E40)))</f>
        <v>896.0107384752671</v>
      </c>
      <c r="F43" s="57"/>
      <c r="G43" s="6"/>
      <c r="H43" s="6"/>
      <c r="I43" s="6"/>
      <c r="J43" s="6"/>
      <c r="K43" s="6"/>
    </row>
    <row r="44" spans="2:11" s="7" customFormat="1" ht="12.75">
      <c r="B44" s="56"/>
      <c r="C44" s="50" t="s">
        <v>34</v>
      </c>
      <c r="D44" s="49">
        <f>IF(OR(D68=1,D69=1),"",D41-D42)</f>
        <v>533.3236218900136</v>
      </c>
      <c r="E44" s="49">
        <f>IF(D68=1,"",E41-E42)</f>
        <v>418.20992106068377</v>
      </c>
      <c r="F44" s="57"/>
      <c r="G44" s="6"/>
      <c r="H44" s="6"/>
      <c r="I44" s="6"/>
      <c r="J44" s="6"/>
      <c r="K44" s="6"/>
    </row>
    <row r="45" spans="2:11" s="7" customFormat="1" ht="12.75">
      <c r="B45" s="56"/>
      <c r="C45" s="79" t="s">
        <v>4</v>
      </c>
      <c r="D45" s="88">
        <f>IF(D70=1,"Neg. Income","")</f>
      </c>
      <c r="E45" s="88">
        <f>IF(E70=1,"Neg. Income","")</f>
      </c>
      <c r="F45" s="57"/>
      <c r="G45" s="6"/>
      <c r="H45" s="6"/>
      <c r="I45" s="6"/>
      <c r="J45" s="6"/>
      <c r="K45" s="6"/>
    </row>
    <row r="46" spans="2:11" s="7" customFormat="1" ht="12.75">
      <c r="B46" s="56"/>
      <c r="C46" s="79" t="s">
        <v>49</v>
      </c>
      <c r="D46" s="65"/>
      <c r="E46" s="65"/>
      <c r="F46" s="57"/>
      <c r="G46" s="6"/>
      <c r="H46" s="6"/>
      <c r="I46" s="6"/>
      <c r="J46" s="6"/>
      <c r="K46" s="6"/>
    </row>
    <row r="47" spans="2:11" s="7" customFormat="1" ht="12.75">
      <c r="B47" s="56"/>
      <c r="C47" s="50" t="s">
        <v>32</v>
      </c>
      <c r="D47" s="87">
        <f>IF(SUM(D68:D71)&gt;0,"",(House*HouseMaint)/-12)</f>
        <v>-200</v>
      </c>
      <c r="E47" s="49">
        <f>IF(SUM(E68:E71)&gt;0,"",(House*HouseMaint)/-12)</f>
        <v>-200</v>
      </c>
      <c r="F47" s="57"/>
      <c r="G47" s="6"/>
      <c r="H47" s="6"/>
      <c r="I47" s="6"/>
      <c r="J47" s="6"/>
      <c r="K47" s="6"/>
    </row>
    <row r="48" spans="2:11" s="7" customFormat="1" ht="12.75">
      <c r="B48" s="56"/>
      <c r="C48" s="50" t="s">
        <v>52</v>
      </c>
      <c r="D48" s="49">
        <f>IF(SUM(D68:D71)&gt;0,"",(House*PropertyTax)/-12)</f>
        <v>-110</v>
      </c>
      <c r="E48" s="49">
        <f>IF(SUM(E68:E71)&gt;0,"",(House*PropertyTax)/-12)</f>
        <v>-110</v>
      </c>
      <c r="F48" s="57"/>
      <c r="G48" s="6"/>
      <c r="H48" s="6"/>
      <c r="I48" s="6"/>
      <c r="J48" s="6"/>
      <c r="K48" s="6"/>
    </row>
    <row r="49" spans="2:11" s="7" customFormat="1" ht="12.75">
      <c r="B49" s="56"/>
      <c r="C49" s="50" t="s">
        <v>35</v>
      </c>
      <c r="D49" s="49">
        <f>IF(SUM(D68:D71)&gt;0,"",Rent+Saveing)</f>
        <v>1275</v>
      </c>
      <c r="E49" s="82">
        <f>IF(SUM(E68:E71)&gt;0,"",Rent+Saveing)</f>
        <v>1275</v>
      </c>
      <c r="F49" s="57"/>
      <c r="G49" s="6"/>
      <c r="H49" s="6"/>
      <c r="I49" s="6"/>
      <c r="J49" s="6"/>
      <c r="K49" s="6"/>
    </row>
    <row r="50" spans="2:11" s="7" customFormat="1" ht="12.75">
      <c r="B50" s="56"/>
      <c r="C50" s="50" t="s">
        <v>34</v>
      </c>
      <c r="D50" s="49">
        <f>IF(SUM(D68:D71)&gt;0,"",SUM(D47:D49))</f>
        <v>965</v>
      </c>
      <c r="E50" s="49">
        <f>IF(SUM(E68:E71)&gt;0,"",SUM(E47:E49))</f>
        <v>965</v>
      </c>
      <c r="F50" s="57"/>
      <c r="G50" s="6"/>
      <c r="H50" s="6"/>
      <c r="I50" s="6"/>
      <c r="J50" s="6"/>
      <c r="K50" s="6"/>
    </row>
    <row r="51" spans="2:11" s="7" customFormat="1" ht="12.75">
      <c r="B51" s="56"/>
      <c r="C51" s="79"/>
      <c r="D51" s="65"/>
      <c r="E51" s="65"/>
      <c r="F51" s="57"/>
      <c r="G51" s="6"/>
      <c r="H51" s="6"/>
      <c r="I51" s="6"/>
      <c r="J51" s="6"/>
      <c r="K51" s="6"/>
    </row>
    <row r="52" spans="2:11" s="7" customFormat="1" ht="12.75">
      <c r="B52" s="56"/>
      <c r="C52" s="79" t="s">
        <v>44</v>
      </c>
      <c r="D52" s="65"/>
      <c r="E52" s="65"/>
      <c r="F52" s="57"/>
      <c r="G52" s="6"/>
      <c r="H52" s="6"/>
      <c r="I52" s="6"/>
      <c r="J52" s="6"/>
      <c r="K52" s="6"/>
    </row>
    <row r="53" spans="2:11" s="7" customFormat="1" ht="12.75">
      <c r="B53" s="56"/>
      <c r="C53" s="50" t="s">
        <v>40</v>
      </c>
      <c r="D53" s="49">
        <f>IF(SUM(D68:D71)&gt;0,"",(D34+D40)*-12*MortgageLen)</f>
        <v>207204.66149279344</v>
      </c>
      <c r="E53" s="49">
        <f>IF(SUM(E68:E71)&gt;0,"",(E34+E40)*-12*MortgageLen)</f>
        <v>258358.3122988269</v>
      </c>
      <c r="F53" s="57"/>
      <c r="G53" s="6"/>
      <c r="H53" s="6"/>
      <c r="I53" s="6"/>
      <c r="J53" s="6"/>
      <c r="K53" s="6"/>
    </row>
    <row r="54" spans="2:11" s="7" customFormat="1" ht="12.75">
      <c r="B54" s="56"/>
      <c r="C54" s="50" t="s">
        <v>43</v>
      </c>
      <c r="D54" s="49">
        <f>IF(SUM(D68:D71)&gt;0,"",D17)</f>
        <v>34500</v>
      </c>
      <c r="E54" s="49">
        <f>IF(SUM(E68:E71)&gt;0,"",E17)</f>
        <v>34500</v>
      </c>
      <c r="F54" s="57"/>
      <c r="G54" s="6"/>
      <c r="H54" s="6"/>
      <c r="I54" s="6"/>
      <c r="J54" s="6"/>
      <c r="K54" s="6"/>
    </row>
    <row r="55" spans="2:11" s="7" customFormat="1" ht="12.75">
      <c r="B55" s="56"/>
      <c r="C55" s="79"/>
      <c r="D55" s="65"/>
      <c r="E55" s="65"/>
      <c r="F55" s="57"/>
      <c r="G55" s="6"/>
      <c r="H55" s="6"/>
      <c r="I55" s="6"/>
      <c r="J55" s="6"/>
      <c r="K55" s="6"/>
    </row>
    <row r="56" spans="2:11" s="7" customFormat="1" ht="12.75">
      <c r="B56" s="56"/>
      <c r="C56" s="79" t="s">
        <v>37</v>
      </c>
      <c r="D56" s="65"/>
      <c r="E56" s="65"/>
      <c r="F56" s="57"/>
      <c r="G56" s="6"/>
      <c r="H56" s="6"/>
      <c r="I56" s="6"/>
      <c r="J56" s="6"/>
      <c r="K56" s="6"/>
    </row>
    <row r="57" spans="2:11" s="7" customFormat="1" ht="12.75">
      <c r="B57" s="56"/>
      <c r="C57" s="50" t="s">
        <v>38</v>
      </c>
      <c r="D57" s="49">
        <f>IF(SUM(D68:D71)&gt;0,"",D27)</f>
        <v>816218.2605066381</v>
      </c>
      <c r="E57" s="82">
        <f>IF(SUM(E68:E71)&gt;0,"",E27)</f>
        <v>1322062.1237717958</v>
      </c>
      <c r="F57" s="57"/>
      <c r="G57" s="6"/>
      <c r="H57" s="6"/>
      <c r="I57" s="6"/>
      <c r="J57" s="6"/>
      <c r="K57" s="6"/>
    </row>
    <row r="58" spans="2:11" s="7" customFormat="1" ht="12.75">
      <c r="B58" s="56"/>
      <c r="C58" s="50" t="str">
        <f>"Return From Mortgage Invest After "&amp;MortgageLen&amp;" Years"</f>
        <v>Return From Mortgage Invest After 30 Years</v>
      </c>
      <c r="D58" s="49">
        <f>IF(SUM(D68:D71)&gt;0,"",FV(HInvRet/12,D31*12,D44)*-1)</f>
        <v>1205571.6072908717</v>
      </c>
      <c r="E58" s="49">
        <f>IF(SUM(E68:E71)&gt;0,"",FV(HInvRet/12,E31*12,E44)*-1)</f>
        <v>945358.4765875862</v>
      </c>
      <c r="F58" s="57"/>
      <c r="G58" s="6"/>
      <c r="H58" s="6"/>
      <c r="I58" s="6"/>
      <c r="J58" s="6"/>
      <c r="K58" s="6"/>
    </row>
    <row r="59" spans="2:11" s="7" customFormat="1" ht="12.75">
      <c r="B59" s="56"/>
      <c r="C59" s="50" t="str">
        <f>"Return From Post-Mortgage Invest After "&amp;LiveInHouse-MortgageLen&amp;" Years"</f>
        <v>Return From Post-Mortgage Invest After 5 Years</v>
      </c>
      <c r="D59" s="49">
        <f>IF(SUM(D68:D71)&gt;0,"",FV(HInvRet/12,(LiveInHouse-MortgageLen)*12,D50)*-1)</f>
        <v>74726.77464736011</v>
      </c>
      <c r="E59" s="49">
        <f>IF(SUM(E68:E71)&gt;0,"",FV(HInvRet/12,(LiveInHouse-MortgageLen)*12,E50)*-1)</f>
        <v>74726.77464736011</v>
      </c>
      <c r="F59" s="57"/>
      <c r="G59" s="6"/>
      <c r="H59" s="6"/>
      <c r="I59" s="6"/>
      <c r="J59" s="6"/>
      <c r="K59" s="6"/>
    </row>
    <row r="60" spans="2:11" s="7" customFormat="1" ht="12.75">
      <c r="B60" s="56"/>
      <c r="C60" s="50" t="str">
        <f>"Value Of House After "&amp;LiveInHouse&amp;" Years"</f>
        <v>Value Of House After 35 Years</v>
      </c>
      <c r="D60" s="87">
        <f>IF(SUM(D68:D71)&gt;0,"",House*((1+HouseImprov)^LiveInHouse))</f>
        <v>337663.4945245827</v>
      </c>
      <c r="E60" s="87">
        <f>IF(SUM(E68:E71)&gt;0,"",House*((1+HouseImprov)^LiveInHouse))</f>
        <v>337663.4945245827</v>
      </c>
      <c r="F60" s="57"/>
      <c r="G60" s="6"/>
      <c r="H60" s="6"/>
      <c r="I60" s="6"/>
      <c r="J60" s="6"/>
      <c r="K60" s="6"/>
    </row>
    <row r="61" spans="2:11" s="7" customFormat="1" ht="12.75">
      <c r="B61" s="56"/>
      <c r="C61" s="89" t="str">
        <f>"Total Net Worth After "&amp;LiveInApt+LiveInHouse&amp;" Years"</f>
        <v>Total Net Worth After 40 Years</v>
      </c>
      <c r="D61" s="52">
        <f>IF(SUM(D68:D71)&gt;0,"",SUM(D57:D60))</f>
        <v>2434180.1369694527</v>
      </c>
      <c r="E61" s="90">
        <f>IF(SUM(E68:E71)&gt;0,"",SUM(E57:E60))</f>
        <v>2679810.869531325</v>
      </c>
      <c r="F61" s="57"/>
      <c r="G61" s="6"/>
      <c r="H61" s="6"/>
      <c r="I61" s="6"/>
      <c r="J61" s="6"/>
      <c r="K61" s="6"/>
    </row>
    <row r="62" spans="2:11" s="7" customFormat="1" ht="13.5" thickBot="1">
      <c r="B62" s="70"/>
      <c r="C62" s="132"/>
      <c r="D62" s="71"/>
      <c r="E62" s="72"/>
      <c r="F62" s="73"/>
      <c r="G62" s="6"/>
      <c r="H62" s="6"/>
      <c r="I62" s="6"/>
      <c r="J62" s="6"/>
      <c r="K62" s="6"/>
    </row>
    <row r="66" spans="3:5" ht="12.75">
      <c r="C66" s="121" t="s">
        <v>56</v>
      </c>
      <c r="D66" s="122"/>
      <c r="E66" s="123"/>
    </row>
    <row r="67" spans="3:5" ht="12.75">
      <c r="C67" s="121"/>
      <c r="D67" s="124" t="s">
        <v>53</v>
      </c>
      <c r="E67" s="125" t="s">
        <v>53</v>
      </c>
    </row>
    <row r="68" spans="3:5" ht="12.75">
      <c r="C68" s="126" t="s">
        <v>90</v>
      </c>
      <c r="D68" s="4">
        <f>IF(D21&lt;D25,1,0)</f>
        <v>0</v>
      </c>
      <c r="E68" s="4">
        <f>IF(E21&lt;E25,1,0)</f>
        <v>0</v>
      </c>
    </row>
    <row r="69" spans="3:5" ht="12.75">
      <c r="C69" s="126" t="s">
        <v>54</v>
      </c>
      <c r="D69" s="4">
        <f>IF(D21&lt;D24,1,0)</f>
        <v>0</v>
      </c>
      <c r="E69" s="127"/>
    </row>
    <row r="70" spans="3:5" ht="12.75">
      <c r="C70" s="126" t="s">
        <v>55</v>
      </c>
      <c r="D70" s="4">
        <f>IF(D44&lt;0,1,0)</f>
        <v>0</v>
      </c>
      <c r="E70" s="127">
        <f>IF(E44&lt;0,1,0)</f>
        <v>0</v>
      </c>
    </row>
    <row r="71" spans="3:5" ht="12.75">
      <c r="C71" s="128"/>
      <c r="D71" s="129"/>
      <c r="E71" s="130"/>
    </row>
    <row r="72" spans="4:5" ht="12.75">
      <c r="D72" s="2"/>
      <c r="E72" s="2"/>
    </row>
    <row r="73" spans="3:4" ht="12.75">
      <c r="C73" s="121" t="s">
        <v>100</v>
      </c>
      <c r="D73" s="123"/>
    </row>
    <row r="74" spans="3:5" ht="12.75">
      <c r="C74" s="121" t="str">
        <f>"You live in an apartment for "&amp;LiveInApt&amp;" years, investing $"&amp;Saveing&amp;" a month.  You then purchase"</f>
        <v>You live in an apartment for 5 years, investing $700 a month.  You then purchase</v>
      </c>
      <c r="D74" s="125" t="str">
        <f>"You move into a house costing $"&amp;House&amp;" and pay the minimum down payment. "</f>
        <v>You move into a house costing $120000 and pay the minimum down payment. </v>
      </c>
      <c r="E74" s="1" t="s">
        <v>4</v>
      </c>
    </row>
    <row r="75" spans="3:5" ht="12.75">
      <c r="C75" s="126" t="str">
        <f>"a house costing $"&amp;House&amp;", paying the minimum down payment.   Each month"</f>
        <v>a house costing $120000, paying the minimum down payment.   Each month</v>
      </c>
      <c r="D75" s="127" t="str">
        <f>"Each Month you pay the minimum mortgage, and invest the remaining funds in"</f>
        <v>Each Month you pay the minimum mortgage, and invest the remaining funds in</v>
      </c>
      <c r="E75" s="1" t="s">
        <v>4</v>
      </c>
    </row>
    <row r="76" spans="3:5" ht="12.75">
      <c r="C76" s="126" t="str">
        <f>"you pay the minimum mortgage, and invest the remaining funds in long term"</f>
        <v>you pay the minimum mortgage, and invest the remaining funds in long term</v>
      </c>
      <c r="D76" s="127" t="str">
        <f>"long term savings.  After "&amp;MortgageLen&amp;" years you own the house.  You then put the amount "</f>
        <v>long term savings.  After 30 years you own the house.  You then put the amount </v>
      </c>
      <c r="E76" s="1" t="s">
        <v>4</v>
      </c>
    </row>
    <row r="77" spans="3:5" ht="12.75">
      <c r="C77" s="126" t="str">
        <f>"savings.  After "&amp;MortgageLen&amp;" years you own the house.  You then put the amount you were"</f>
        <v>savings.  After 30 years you own the house.  You then put the amount you were</v>
      </c>
      <c r="D77" s="127" t="s">
        <v>101</v>
      </c>
      <c r="E77" s="1" t="s">
        <v>4</v>
      </c>
    </row>
    <row r="78" spans="3:4" ht="12.75">
      <c r="C78" s="128" t="s">
        <v>99</v>
      </c>
      <c r="D78" s="130" t="s">
        <v>102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B1:N72"/>
  <sheetViews>
    <sheetView workbookViewId="0" topLeftCell="A22">
      <selection activeCell="C21" sqref="C21"/>
    </sheetView>
  </sheetViews>
  <sheetFormatPr defaultColWidth="9.140625" defaultRowHeight="12.75"/>
  <cols>
    <col min="1" max="1" width="2.7109375" style="0" customWidth="1"/>
    <col min="2" max="2" width="3.140625" style="0" customWidth="1"/>
    <col min="3" max="3" width="42.00390625" style="0" customWidth="1"/>
    <col min="4" max="4" width="11.7109375" style="0" customWidth="1"/>
    <col min="5" max="5" width="11.421875" style="0" customWidth="1"/>
    <col min="6" max="6" width="3.140625" style="0" customWidth="1"/>
  </cols>
  <sheetData>
    <row r="1" s="1" customFormat="1" ht="12.75">
      <c r="I1" s="1" t="s">
        <v>4</v>
      </c>
    </row>
    <row r="2" spans="2:9" s="1" customFormat="1" ht="12.75">
      <c r="B2" s="136" t="s">
        <v>98</v>
      </c>
      <c r="C2" s="135"/>
      <c r="D2" s="122"/>
      <c r="E2" s="123"/>
      <c r="I2" s="1" t="s">
        <v>4</v>
      </c>
    </row>
    <row r="3" spans="2:9" s="1" customFormat="1" ht="12.75">
      <c r="B3" s="135" t="str">
        <f>IF(LiveInApt=0,D68,C68)</f>
        <v>You live in an apartment for 5 years, investing $700 a month.  You then purchase</v>
      </c>
      <c r="C3" s="122"/>
      <c r="D3" s="122"/>
      <c r="E3" s="123"/>
      <c r="I3" s="1" t="s">
        <v>4</v>
      </c>
    </row>
    <row r="4" spans="2:9" s="1" customFormat="1" ht="12.75">
      <c r="B4" s="137" t="str">
        <f>IF(LiveInApt=0,D69,C69)</f>
        <v>a house costing $120000, using all your savings to pay the down payment.</v>
      </c>
      <c r="C4" s="2"/>
      <c r="D4" s="2"/>
      <c r="E4" s="138"/>
      <c r="I4" s="1" t="s">
        <v>4</v>
      </c>
    </row>
    <row r="5" spans="2:9" s="1" customFormat="1" ht="12.75">
      <c r="B5" s="137" t="str">
        <f>IF(LiveInApt=0,D70,C70)</f>
        <v>Each month you put all your money into the mortgage, investing nothing.  After</v>
      </c>
      <c r="C5" s="2"/>
      <c r="D5" s="2"/>
      <c r="E5" s="138"/>
      <c r="I5" s="1" t="s">
        <v>4</v>
      </c>
    </row>
    <row r="6" spans="2:5" s="1" customFormat="1" ht="12.75">
      <c r="B6" s="137" t="str">
        <f>IF(LiveInApt=0,D71,C71)</f>
        <v>you own the house, you then put the amount you were paying to your mortgage</v>
      </c>
      <c r="C6" s="2"/>
      <c r="D6" s="2"/>
      <c r="E6" s="138"/>
    </row>
    <row r="7" spans="2:9" s="1" customFormat="1" ht="12.75">
      <c r="B7" s="139" t="str">
        <f>IF(LiveInApt=0,D72,C72)</f>
        <v>into long term savings.</v>
      </c>
      <c r="C7" s="140"/>
      <c r="D7" s="140"/>
      <c r="E7" s="141"/>
      <c r="I7" s="1" t="s">
        <v>4</v>
      </c>
    </row>
    <row r="8" s="1" customFormat="1" ht="12.75"/>
    <row r="9" ht="13.5" thickBot="1"/>
    <row r="10" spans="2:6" ht="12.75">
      <c r="B10" s="32"/>
      <c r="C10" s="33"/>
      <c r="D10" s="33"/>
      <c r="E10" s="33"/>
      <c r="F10" s="34"/>
    </row>
    <row r="11" spans="2:14" s="4" customFormat="1" ht="12.75">
      <c r="B11" s="68"/>
      <c r="C11" s="74" t="s">
        <v>57</v>
      </c>
      <c r="D11" s="75" t="s">
        <v>26</v>
      </c>
      <c r="E11" s="75" t="s">
        <v>25</v>
      </c>
      <c r="F11" s="69"/>
      <c r="G11" s="8"/>
      <c r="H11" s="8"/>
      <c r="I11" s="8"/>
      <c r="J11" s="8"/>
      <c r="K11" s="8"/>
      <c r="L11" s="8"/>
      <c r="M11" s="8"/>
      <c r="N11" s="6"/>
    </row>
    <row r="12" spans="2:14" s="4" customFormat="1" ht="12.75">
      <c r="B12" s="68"/>
      <c r="C12" s="76" t="s">
        <v>24</v>
      </c>
      <c r="D12" s="77"/>
      <c r="E12" s="77"/>
      <c r="F12" s="69"/>
      <c r="G12" s="8"/>
      <c r="H12" s="8"/>
      <c r="I12" s="8"/>
      <c r="J12" s="8"/>
      <c r="K12" s="8"/>
      <c r="L12" s="8"/>
      <c r="M12" s="8"/>
      <c r="N12" s="6"/>
    </row>
    <row r="13" spans="2:8" s="1" customFormat="1" ht="12.75">
      <c r="B13" s="35"/>
      <c r="C13" s="48" t="s">
        <v>14</v>
      </c>
      <c r="D13" s="78">
        <f>LiveInApt</f>
        <v>5</v>
      </c>
      <c r="E13" s="78">
        <f>LiveInApt</f>
        <v>5</v>
      </c>
      <c r="F13" s="53"/>
      <c r="G13" s="12"/>
      <c r="H13" s="13"/>
    </row>
    <row r="14" spans="2:8" s="1" customFormat="1" ht="12.75">
      <c r="B14" s="35"/>
      <c r="C14" s="41"/>
      <c r="D14" s="47"/>
      <c r="E14" s="47"/>
      <c r="F14" s="53"/>
      <c r="G14" s="12"/>
      <c r="H14" s="13"/>
    </row>
    <row r="15" spans="2:8" s="1" customFormat="1" ht="12.75">
      <c r="B15" s="35"/>
      <c r="C15" s="41" t="s">
        <v>19</v>
      </c>
      <c r="D15" s="47"/>
      <c r="E15" s="47"/>
      <c r="F15" s="53"/>
      <c r="G15" s="12"/>
      <c r="H15" s="13"/>
    </row>
    <row r="16" spans="2:14" s="1" customFormat="1" ht="12.75">
      <c r="B16" s="35"/>
      <c r="C16" s="48" t="s">
        <v>16</v>
      </c>
      <c r="D16" s="49">
        <f>Rent*12</f>
        <v>6900</v>
      </c>
      <c r="E16" s="49">
        <f>Rent*12</f>
        <v>6900</v>
      </c>
      <c r="F16" s="54"/>
      <c r="G16" s="14"/>
      <c r="H16" s="14"/>
      <c r="I16" s="14"/>
      <c r="J16" s="14"/>
      <c r="K16" s="14"/>
      <c r="L16" s="14"/>
      <c r="M16" s="14"/>
      <c r="N16" s="3"/>
    </row>
    <row r="17" spans="2:14" s="1" customFormat="1" ht="12.75">
      <c r="B17" s="35"/>
      <c r="C17" s="48" t="s">
        <v>51</v>
      </c>
      <c r="D17" s="49">
        <f>D16*D13</f>
        <v>34500</v>
      </c>
      <c r="E17" s="49">
        <f>E16*E13</f>
        <v>34500</v>
      </c>
      <c r="F17" s="54"/>
      <c r="G17" s="14"/>
      <c r="H17" s="14"/>
      <c r="I17" s="14"/>
      <c r="J17" s="14"/>
      <c r="K17" s="14"/>
      <c r="L17" s="14"/>
      <c r="M17" s="14"/>
      <c r="N17" s="3"/>
    </row>
    <row r="18" spans="2:14" s="1" customFormat="1" ht="12.75">
      <c r="B18" s="35"/>
      <c r="C18" s="41"/>
      <c r="D18" s="65"/>
      <c r="E18" s="65"/>
      <c r="F18" s="54"/>
      <c r="G18" s="14"/>
      <c r="H18" s="14"/>
      <c r="I18" s="14"/>
      <c r="J18" s="14"/>
      <c r="K18" s="14"/>
      <c r="L18" s="14"/>
      <c r="M18" s="14"/>
      <c r="N18" s="3"/>
    </row>
    <row r="19" spans="2:14" s="1" customFormat="1" ht="12.75">
      <c r="B19" s="35"/>
      <c r="C19" s="41" t="s">
        <v>20</v>
      </c>
      <c r="D19" s="65"/>
      <c r="E19" s="65"/>
      <c r="F19" s="54"/>
      <c r="G19" s="14"/>
      <c r="H19" s="14"/>
      <c r="I19" s="14"/>
      <c r="J19" s="14"/>
      <c r="K19" s="14"/>
      <c r="L19" s="14"/>
      <c r="M19" s="14"/>
      <c r="N19" s="3"/>
    </row>
    <row r="20" spans="2:13" s="1" customFormat="1" ht="12.75">
      <c r="B20" s="35"/>
      <c r="C20" s="44" t="s">
        <v>58</v>
      </c>
      <c r="D20" s="49">
        <f>Saveing</f>
        <v>700</v>
      </c>
      <c r="E20" s="49">
        <f>Saveing</f>
        <v>700</v>
      </c>
      <c r="F20" s="55"/>
      <c r="G20" s="4"/>
      <c r="H20" s="4"/>
      <c r="I20" s="4"/>
      <c r="J20" s="4"/>
      <c r="K20" s="4"/>
      <c r="L20" s="4"/>
      <c r="M20" s="4"/>
    </row>
    <row r="21" spans="2:13" s="7" customFormat="1" ht="12.75">
      <c r="B21" s="56"/>
      <c r="C21" s="50" t="str">
        <f>"Pre-Mortgage Investement Return After "&amp;D13&amp;" Years"</f>
        <v>Pre-Mortgage Investement Return After 5 Years</v>
      </c>
      <c r="D21" s="49">
        <f>FV(HInvRet/12,D13*12,D20)*-1</f>
        <v>54205.950521401115</v>
      </c>
      <c r="E21" s="49">
        <f>FV(HInvRet/12,E13*12,E20)*-1</f>
        <v>54205.950521401115</v>
      </c>
      <c r="F21" s="57"/>
      <c r="G21" s="6"/>
      <c r="H21" s="6"/>
      <c r="I21" s="6"/>
      <c r="J21" s="6"/>
      <c r="K21" s="6"/>
      <c r="L21" s="6"/>
      <c r="M21" s="6"/>
    </row>
    <row r="22" spans="2:13" s="7" customFormat="1" ht="12.75">
      <c r="B22" s="56"/>
      <c r="C22" s="79"/>
      <c r="D22" s="65"/>
      <c r="E22" s="80"/>
      <c r="F22" s="57"/>
      <c r="G22" s="30"/>
      <c r="H22" s="30"/>
      <c r="I22" s="6"/>
      <c r="J22" s="6"/>
      <c r="K22" s="6"/>
      <c r="L22" s="6"/>
      <c r="M22" s="6"/>
    </row>
    <row r="23" spans="2:13" s="7" customFormat="1" ht="12.75">
      <c r="B23" s="56"/>
      <c r="C23" s="79" t="s">
        <v>42</v>
      </c>
      <c r="D23" s="65"/>
      <c r="E23" s="81"/>
      <c r="F23" s="57"/>
      <c r="G23" s="6"/>
      <c r="H23" s="6"/>
      <c r="I23" s="6"/>
      <c r="J23" s="6"/>
      <c r="K23" s="6"/>
      <c r="L23" s="6"/>
      <c r="M23" s="6"/>
    </row>
    <row r="24" spans="2:13" s="7" customFormat="1" ht="12.75">
      <c r="B24" s="56"/>
      <c r="C24" s="50" t="s">
        <v>29</v>
      </c>
      <c r="D24" s="49">
        <f>House*PMIThreshold</f>
        <v>24000</v>
      </c>
      <c r="E24" s="82">
        <f>0</f>
        <v>0</v>
      </c>
      <c r="F24" s="57"/>
      <c r="G24" s="6"/>
      <c r="H24" s="6"/>
      <c r="I24" s="6"/>
      <c r="J24" s="6"/>
      <c r="K24" s="6"/>
      <c r="L24" s="6"/>
      <c r="M24" s="6"/>
    </row>
    <row r="25" spans="2:11" s="7" customFormat="1" ht="12.75">
      <c r="B25" s="56"/>
      <c r="C25" s="50" t="s">
        <v>89</v>
      </c>
      <c r="D25" s="49">
        <f>MinDPPerc*House</f>
        <v>6000</v>
      </c>
      <c r="E25" s="49">
        <f>MinDPPerc*House</f>
        <v>6000</v>
      </c>
      <c r="F25" s="57"/>
      <c r="G25" s="6"/>
      <c r="H25" s="6"/>
      <c r="I25" s="6"/>
      <c r="J25" s="6"/>
      <c r="K25" s="6"/>
    </row>
    <row r="26" spans="2:13" s="7" customFormat="1" ht="12.75">
      <c r="B26" s="56"/>
      <c r="C26" s="50" t="s">
        <v>41</v>
      </c>
      <c r="D26" s="49">
        <f>IF(D62=1,"Need DP",IF(D63=1,"Need PMI",House-D21))</f>
        <v>65794.04947859888</v>
      </c>
      <c r="E26" s="87">
        <f>IF(E62=1,"Need DP",House-E21)</f>
        <v>65794.04947859888</v>
      </c>
      <c r="F26" s="57"/>
      <c r="G26" s="6"/>
      <c r="H26" s="6"/>
      <c r="I26" s="6"/>
      <c r="J26" s="6"/>
      <c r="K26" s="6"/>
      <c r="L26" s="6"/>
      <c r="M26" s="6"/>
    </row>
    <row r="27" spans="2:13" s="7" customFormat="1" ht="12.75">
      <c r="B27" s="56"/>
      <c r="C27" s="50" t="s">
        <v>30</v>
      </c>
      <c r="D27" s="83">
        <f>IF(OR(D62=1,D63=1),"",NPER(Interest/12,-D37,D26,0)/12)</f>
        <v>5.298810422848344</v>
      </c>
      <c r="E27" s="83">
        <f>IF(E62=1,"",NPER(Interest/12,-E37,E26,0)/12)</f>
        <v>5.547722671703904</v>
      </c>
      <c r="F27" s="57"/>
      <c r="G27" s="6"/>
      <c r="H27" s="6"/>
      <c r="I27" s="6"/>
      <c r="J27" s="6"/>
      <c r="K27" s="6"/>
      <c r="L27" s="6"/>
      <c r="M27" s="6"/>
    </row>
    <row r="28" spans="2:13" s="7" customFormat="1" ht="12.75">
      <c r="B28" s="56"/>
      <c r="C28" s="79"/>
      <c r="D28" s="85"/>
      <c r="E28" s="86"/>
      <c r="F28" s="57"/>
      <c r="G28" s="6"/>
      <c r="H28" s="6"/>
      <c r="I28" s="6"/>
      <c r="J28" s="6"/>
      <c r="K28" s="6"/>
      <c r="L28" s="6"/>
      <c r="M28" s="6"/>
    </row>
    <row r="29" spans="2:13" s="7" customFormat="1" ht="12.75">
      <c r="B29" s="56"/>
      <c r="C29" s="79" t="s">
        <v>48</v>
      </c>
      <c r="D29" s="85"/>
      <c r="E29" s="86"/>
      <c r="F29" s="57"/>
      <c r="G29" s="30"/>
      <c r="H29" s="6"/>
      <c r="I29" s="6"/>
      <c r="J29" s="6"/>
      <c r="K29" s="6"/>
      <c r="L29" s="6"/>
      <c r="M29" s="6"/>
    </row>
    <row r="30" spans="2:13" s="7" customFormat="1" ht="12.75">
      <c r="B30" s="56"/>
      <c r="C30" s="50" t="s">
        <v>52</v>
      </c>
      <c r="D30" s="49">
        <f>IF(OR(D62=1,D63=1),"",(House*PropertyTax)/-12)</f>
        <v>-110</v>
      </c>
      <c r="E30" s="87">
        <f>IF(SUM(E61:E62)&gt;=1,"",(House*PropertyTax)/-12)</f>
        <v>-110</v>
      </c>
      <c r="F30" s="57"/>
      <c r="G30" s="6"/>
      <c r="H30" s="6"/>
      <c r="I30" s="6"/>
      <c r="J30" s="6"/>
      <c r="K30" s="6"/>
      <c r="L30" s="6"/>
      <c r="M30" s="6"/>
    </row>
    <row r="31" spans="2:13" s="7" customFormat="1" ht="12.75">
      <c r="B31" s="56"/>
      <c r="C31" s="50" t="s">
        <v>94</v>
      </c>
      <c r="D31" s="49">
        <f>IF(OR(D62=1,D63=1),"",(HouseMinPay!E34)*HouseInsPerc)</f>
        <v>-68.34875986741453</v>
      </c>
      <c r="E31" s="49">
        <f>IF(SUM(E62:E62)&gt;=1,"",(HouseMinPay!E34)*HouseInsPerc)</f>
        <v>-68.34875986741453</v>
      </c>
      <c r="F31" s="57"/>
      <c r="G31" s="6"/>
      <c r="H31" s="6"/>
      <c r="I31" s="6"/>
      <c r="J31" s="6"/>
      <c r="K31" s="6"/>
      <c r="L31" s="6"/>
      <c r="M31" s="6"/>
    </row>
    <row r="32" spans="2:13" s="7" customFormat="1" ht="12.75">
      <c r="B32" s="56"/>
      <c r="C32" s="50" t="s">
        <v>32</v>
      </c>
      <c r="D32" s="49">
        <f>IF(OR(D62=1,D63=1),"",(House*HouseMaint)/-12)</f>
        <v>-200</v>
      </c>
      <c r="E32" s="49">
        <f>IF(SUM(E61:E62)&gt;=1,"",(House*HouseMaint)/-12)</f>
        <v>-200</v>
      </c>
      <c r="F32" s="57"/>
      <c r="G32" s="6"/>
      <c r="H32" s="6"/>
      <c r="I32" s="6"/>
      <c r="J32" s="6"/>
      <c r="K32" s="6"/>
      <c r="L32" s="6"/>
      <c r="M32" s="6"/>
    </row>
    <row r="33" spans="2:13" s="7" customFormat="1" ht="12.75">
      <c r="B33" s="56"/>
      <c r="C33" s="50" t="s">
        <v>33</v>
      </c>
      <c r="D33" s="49">
        <f>IF(OR(D62=1,D63=1),"",0)</f>
        <v>0</v>
      </c>
      <c r="E33" s="49">
        <f>IF(SUM(E62:E62)&gt;=1,"",(HouseMinPay!E34)*PMIRate)</f>
        <v>-34.174379933707264</v>
      </c>
      <c r="F33" s="57"/>
      <c r="G33" s="6"/>
      <c r="H33" s="6"/>
      <c r="I33" s="6"/>
      <c r="J33" s="6"/>
      <c r="K33" s="6"/>
      <c r="L33" s="6"/>
      <c r="M33" s="6"/>
    </row>
    <row r="34" spans="2:13" s="7" customFormat="1" ht="12.75">
      <c r="B34" s="56"/>
      <c r="C34" s="50" t="s">
        <v>35</v>
      </c>
      <c r="D34" s="49">
        <f>IF(OR(D62=1,D63=1),"",Rent+Saveing)</f>
        <v>1275</v>
      </c>
      <c r="E34" s="49">
        <f>IF(SUM(E62:E63)&gt;=1,"",Rent+Saveing)</f>
        <v>1275</v>
      </c>
      <c r="F34" s="57"/>
      <c r="G34" s="6"/>
      <c r="H34" s="6"/>
      <c r="I34" s="6"/>
      <c r="J34" s="6"/>
      <c r="K34" s="6"/>
      <c r="L34" s="6"/>
      <c r="M34" s="6"/>
    </row>
    <row r="35" spans="2:13" s="7" customFormat="1" ht="12.75">
      <c r="B35" s="56"/>
      <c r="C35" s="50" t="s">
        <v>59</v>
      </c>
      <c r="D35" s="87">
        <f>IF(OR(D62=1,D63=1),"",SUM(D30:D34))</f>
        <v>896.6512401325855</v>
      </c>
      <c r="E35" s="87">
        <f>IF(SUM(E62:E63)&gt;=1,"",SUM(E30:E34))</f>
        <v>862.4768601988783</v>
      </c>
      <c r="F35" s="57"/>
      <c r="G35" s="6"/>
      <c r="H35" s="6"/>
      <c r="I35" s="6"/>
      <c r="J35" s="6"/>
      <c r="K35" s="6"/>
      <c r="L35" s="6"/>
      <c r="M35" s="6"/>
    </row>
    <row r="36" spans="2:13" s="7" customFormat="1" ht="12.75">
      <c r="B36" s="56"/>
      <c r="C36" s="50" t="s">
        <v>47</v>
      </c>
      <c r="D36" s="82">
        <f>IF(OR(D62=1,D63=1),"",(D35*-12*IncInt)/-12)</f>
        <v>313.8279340464049</v>
      </c>
      <c r="E36" s="82">
        <f>IF(SUM(E62:E63)&gt;=1,"",(E35*-12*IncInt)/-12)</f>
        <v>301.8669010696074</v>
      </c>
      <c r="F36" s="57"/>
      <c r="G36" s="6"/>
      <c r="H36" s="6"/>
      <c r="I36" s="6"/>
      <c r="J36" s="6"/>
      <c r="K36" s="6"/>
      <c r="L36" s="6"/>
      <c r="M36" s="6"/>
    </row>
    <row r="37" spans="2:13" s="7" customFormat="1" ht="12.75">
      <c r="B37" s="56"/>
      <c r="C37" s="50" t="s">
        <v>31</v>
      </c>
      <c r="D37" s="82">
        <f>IF(OR(D62=1,D63=1),"",SUM(D35:D36))</f>
        <v>1210.4791741789904</v>
      </c>
      <c r="E37" s="82">
        <f>IF(SUM(E62:E63)&gt;=1,"",SUM(E35:E36))</f>
        <v>1164.3437612684857</v>
      </c>
      <c r="F37" s="57"/>
      <c r="G37" s="6"/>
      <c r="H37" s="6"/>
      <c r="I37" s="6"/>
      <c r="J37" s="6"/>
      <c r="K37" s="6"/>
      <c r="L37" s="6"/>
      <c r="M37" s="6"/>
    </row>
    <row r="38" spans="2:13" s="7" customFormat="1" ht="12.75">
      <c r="B38" s="56"/>
      <c r="C38" s="89" t="s">
        <v>93</v>
      </c>
      <c r="D38" s="90">
        <f>IF(OR(D62=1,D63=1),"",D37-D30-D31-D32)</f>
        <v>1588.827934046405</v>
      </c>
      <c r="E38" s="90">
        <f>IF(SUM(E62:E63)&gt;=1,"",E37-E30-E31-E32-E33)</f>
        <v>1576.8669010696076</v>
      </c>
      <c r="F38" s="57"/>
      <c r="G38" s="6"/>
      <c r="H38" s="6"/>
      <c r="I38" s="6"/>
      <c r="J38" s="6"/>
      <c r="K38" s="6"/>
      <c r="L38" s="6"/>
      <c r="M38" s="6"/>
    </row>
    <row r="39" spans="2:13" s="7" customFormat="1" ht="12.75">
      <c r="B39" s="56"/>
      <c r="C39" s="79" t="s">
        <v>4</v>
      </c>
      <c r="D39" s="88">
        <f>IF(AND(D64=1,D63=0),"Neg. Income","")</f>
      </c>
      <c r="E39" s="88">
        <f>IF(SUM(E62:E63)&gt;=1,"",IF(E64=1,"Neg. Income",""))</f>
      </c>
      <c r="F39" s="91"/>
      <c r="G39" s="6"/>
      <c r="H39" s="6"/>
      <c r="I39" s="6"/>
      <c r="J39" s="6"/>
      <c r="K39" s="6"/>
      <c r="L39" s="6"/>
      <c r="M39" s="6"/>
    </row>
    <row r="40" spans="2:13" s="7" customFormat="1" ht="12.75">
      <c r="B40" s="56"/>
      <c r="C40" s="79" t="s">
        <v>49</v>
      </c>
      <c r="D40" s="65"/>
      <c r="E40" s="65"/>
      <c r="F40" s="57"/>
      <c r="G40" s="6"/>
      <c r="H40" s="6"/>
      <c r="I40" s="6"/>
      <c r="J40" s="6"/>
      <c r="K40" s="6"/>
      <c r="L40" s="6"/>
      <c r="M40" s="6"/>
    </row>
    <row r="41" spans="2:13" s="7" customFormat="1" ht="12.75">
      <c r="B41" s="56"/>
      <c r="C41" s="50" t="s">
        <v>32</v>
      </c>
      <c r="D41" s="87">
        <f>IF(SUM(D62:D65)&gt;0,"",(House*HouseMaint)/-12)</f>
        <v>-200</v>
      </c>
      <c r="E41" s="49">
        <f>IF(SUM(E62:E64)&gt;=1,"",(House*HouseMaint)/-12)</f>
        <v>-200</v>
      </c>
      <c r="F41" s="57"/>
      <c r="G41" s="6"/>
      <c r="H41" s="6"/>
      <c r="I41" s="6"/>
      <c r="J41" s="6"/>
      <c r="K41" s="6"/>
      <c r="L41" s="6"/>
      <c r="M41" s="6"/>
    </row>
    <row r="42" spans="2:13" s="7" customFormat="1" ht="12.75">
      <c r="B42" s="56"/>
      <c r="C42" s="50" t="s">
        <v>52</v>
      </c>
      <c r="D42" s="49">
        <f>IF(SUM(D62:D65)&gt;0,"",(House*PropertyTax)/-12)</f>
        <v>-110</v>
      </c>
      <c r="E42" s="49">
        <f>IF(SUM(E62:E64)&gt;=1,"",(House*PropertyTax)/-12)</f>
        <v>-110</v>
      </c>
      <c r="F42" s="57"/>
      <c r="G42" s="6"/>
      <c r="H42" s="6"/>
      <c r="I42" s="6"/>
      <c r="J42" s="6"/>
      <c r="K42" s="6"/>
      <c r="L42" s="6"/>
      <c r="M42" s="6"/>
    </row>
    <row r="43" spans="2:13" s="7" customFormat="1" ht="12.75">
      <c r="B43" s="56"/>
      <c r="C43" s="50" t="s">
        <v>35</v>
      </c>
      <c r="D43" s="49">
        <f>IF(SUM(D62:D65)&gt;0,"",Rent+Saveing)</f>
        <v>1275</v>
      </c>
      <c r="E43" s="82">
        <f>IF(SUM(E62:E64)&gt;=1,"",Rent+Saveing)</f>
        <v>1275</v>
      </c>
      <c r="F43" s="57"/>
      <c r="G43" s="6"/>
      <c r="H43" s="6"/>
      <c r="I43" s="6"/>
      <c r="J43" s="6"/>
      <c r="K43" s="6"/>
      <c r="L43" s="6"/>
      <c r="M43" s="6"/>
    </row>
    <row r="44" spans="2:13" s="7" customFormat="1" ht="12.75">
      <c r="B44" s="56"/>
      <c r="C44" s="50" t="s">
        <v>34</v>
      </c>
      <c r="D44" s="49">
        <f>IF(SUM(D62:D65)&gt;0,"",SUM(D41:D43))</f>
        <v>965</v>
      </c>
      <c r="E44" s="49">
        <f>IF(SUM(E62:E64)&gt;=1,"",SUM(E41:E43))</f>
        <v>965</v>
      </c>
      <c r="F44" s="57"/>
      <c r="G44" s="6"/>
      <c r="H44" s="6"/>
      <c r="I44" s="6"/>
      <c r="J44" s="6"/>
      <c r="K44" s="6"/>
      <c r="L44" s="6"/>
      <c r="M44" s="6"/>
    </row>
    <row r="45" spans="2:13" s="7" customFormat="1" ht="12.75">
      <c r="B45" s="56"/>
      <c r="C45" s="79"/>
      <c r="D45" s="65"/>
      <c r="E45" s="65"/>
      <c r="F45" s="57"/>
      <c r="G45" s="6"/>
      <c r="H45" s="6"/>
      <c r="I45" s="6"/>
      <c r="J45" s="6"/>
      <c r="K45" s="6"/>
      <c r="L45" s="6"/>
      <c r="M45" s="6"/>
    </row>
    <row r="46" spans="2:13" s="7" customFormat="1" ht="12.75">
      <c r="B46" s="56"/>
      <c r="C46" s="79" t="s">
        <v>44</v>
      </c>
      <c r="D46" s="65"/>
      <c r="E46" s="65"/>
      <c r="F46" s="57"/>
      <c r="G46" s="6"/>
      <c r="H46" s="6"/>
      <c r="I46" s="6"/>
      <c r="J46" s="6"/>
      <c r="K46" s="6"/>
      <c r="L46" s="6"/>
      <c r="M46" s="6"/>
    </row>
    <row r="47" spans="2:13" s="7" customFormat="1" ht="12.75">
      <c r="B47" s="56"/>
      <c r="C47" s="50" t="s">
        <v>40</v>
      </c>
      <c r="D47" s="49">
        <f>IF(SUM(D62:D65)&gt;0,"",(D37+D33)*12*D27)</f>
        <v>76969.19597736589</v>
      </c>
      <c r="E47" s="49">
        <f>IF(SUM(E62:E65)&gt;0,"",(E37-E33)*12*E27)</f>
        <v>79788.55517274993</v>
      </c>
      <c r="F47" s="57"/>
      <c r="G47" s="6"/>
      <c r="H47" s="6"/>
      <c r="I47" s="6"/>
      <c r="J47" s="6"/>
      <c r="K47" s="6"/>
      <c r="L47" s="6"/>
      <c r="M47" s="6"/>
    </row>
    <row r="48" spans="2:13" s="7" customFormat="1" ht="12.75">
      <c r="B48" s="56"/>
      <c r="C48" s="50" t="s">
        <v>43</v>
      </c>
      <c r="D48" s="49">
        <f>IF(SUM(D62:D65)&gt;0,"",D17)</f>
        <v>34500</v>
      </c>
      <c r="E48" s="49">
        <f>IF(SUM(E62:E65)&gt;0,"",E17)</f>
        <v>34500</v>
      </c>
      <c r="F48" s="57"/>
      <c r="G48" s="6"/>
      <c r="H48" s="6"/>
      <c r="I48" s="6"/>
      <c r="J48" s="6"/>
      <c r="K48" s="6"/>
      <c r="L48" s="6"/>
      <c r="M48" s="6"/>
    </row>
    <row r="49" spans="2:13" s="7" customFormat="1" ht="12.75">
      <c r="B49" s="56"/>
      <c r="C49" s="79"/>
      <c r="D49" s="65"/>
      <c r="E49" s="65"/>
      <c r="F49" s="57"/>
      <c r="G49" s="6"/>
      <c r="H49" s="6"/>
      <c r="I49" s="6"/>
      <c r="J49" s="6"/>
      <c r="K49" s="6"/>
      <c r="L49" s="6"/>
      <c r="M49" s="6"/>
    </row>
    <row r="50" spans="2:13" s="7" customFormat="1" ht="12.75">
      <c r="B50" s="56"/>
      <c r="C50" s="79" t="s">
        <v>37</v>
      </c>
      <c r="D50" s="65"/>
      <c r="E50" s="65"/>
      <c r="F50" s="57"/>
      <c r="G50" s="6"/>
      <c r="H50" s="6"/>
      <c r="I50" s="6"/>
      <c r="J50" s="6"/>
      <c r="K50" s="6"/>
      <c r="L50" s="6"/>
      <c r="M50" s="6"/>
    </row>
    <row r="51" spans="2:13" s="7" customFormat="1" ht="12.75">
      <c r="B51" s="56"/>
      <c r="C51" s="50" t="s">
        <v>38</v>
      </c>
      <c r="D51" s="49">
        <f>IF(SUM(D62:D64)&gt;0,"",0)</f>
        <v>0</v>
      </c>
      <c r="E51" s="49">
        <f>IF(SUM(E62:E65)&gt;0,"",0)</f>
        <v>0</v>
      </c>
      <c r="F51" s="57"/>
      <c r="G51" s="6"/>
      <c r="H51" s="6"/>
      <c r="I51" s="6"/>
      <c r="J51" s="6"/>
      <c r="K51" s="6"/>
      <c r="L51" s="6"/>
      <c r="M51" s="6"/>
    </row>
    <row r="52" spans="2:13" s="7" customFormat="1" ht="12.75">
      <c r="B52" s="56"/>
      <c r="C52" s="50" t="str">
        <f>"Return From Mortgage Invest After "&amp;MortgageLen&amp;" Years"</f>
        <v>Return From Mortgage Invest After 30 Years</v>
      </c>
      <c r="D52" s="49">
        <f>IF(SUM(D62:D65)&gt;0,"",0)</f>
        <v>0</v>
      </c>
      <c r="E52" s="49">
        <f>IF(SUM(E62:E65)&gt;0,"",0)</f>
        <v>0</v>
      </c>
      <c r="F52" s="57"/>
      <c r="G52" s="6"/>
      <c r="H52" s="6"/>
      <c r="I52" s="6"/>
      <c r="J52" s="6"/>
      <c r="K52" s="6"/>
      <c r="L52" s="6"/>
      <c r="M52" s="6"/>
    </row>
    <row r="53" spans="2:13" s="7" customFormat="1" ht="12.75">
      <c r="B53" s="56"/>
      <c r="C53" s="50" t="str">
        <f>"Return From Post-Mortgage Invest After "&amp;IF(ISNUMBER(IF(SUM(D61:D64)&gt;0,INT(LiveInHouse-E27),INT(LiveInHouse-D27)))=FALSE,"?",IF(SUM(D61:D64)&gt;0,INT(LiveInHouse-E27),INT(LiveInHouse-D27)))&amp;" Years"</f>
        <v>Return From Post-Mortgage Invest After 29 Years</v>
      </c>
      <c r="D53" s="49">
        <f>IF(SUM(D62:D65)&gt;0,"",FV(HInvRet/12,INT(LiveInHouse-D27)*12,D44)*-1)</f>
        <v>1963627.6044446814</v>
      </c>
      <c r="E53" s="49">
        <f>IF(SUM(E62:E65)&gt;0,"",FV(HInvRet/12,INT(LiveInHouse-E27)*12,E44)*-1)</f>
        <v>1963627.6044446814</v>
      </c>
      <c r="F53" s="57"/>
      <c r="G53" s="6"/>
      <c r="H53" s="6"/>
      <c r="I53" s="6"/>
      <c r="J53" s="6"/>
      <c r="K53" s="6"/>
      <c r="L53" s="6"/>
      <c r="M53" s="6"/>
    </row>
    <row r="54" spans="2:13" s="7" customFormat="1" ht="12.75">
      <c r="B54" s="56"/>
      <c r="C54" s="50" t="str">
        <f>"Value Of House After "&amp;LiveInHouse&amp;" Years"</f>
        <v>Value Of House After 35 Years</v>
      </c>
      <c r="D54" s="87">
        <f>IF(SUM(D62:D65)&gt;0,"",House*((1+HouseImprov)^LiveInHouse))</f>
        <v>337663.4945245827</v>
      </c>
      <c r="E54" s="87">
        <f>IF(SUM(E62:E65)&gt;0,"",House*((1+HouseImprov)^LiveInHouse))</f>
        <v>337663.4945245827</v>
      </c>
      <c r="F54" s="57"/>
      <c r="G54" s="6"/>
      <c r="H54" s="6"/>
      <c r="I54" s="6"/>
      <c r="J54" s="6"/>
      <c r="K54" s="6"/>
      <c r="L54" s="6"/>
      <c r="M54" s="6"/>
    </row>
    <row r="55" spans="2:13" s="7" customFormat="1" ht="12.75">
      <c r="B55" s="56"/>
      <c r="C55" s="89" t="str">
        <f>"Total Net Worth After "&amp;LiveInApt+LiveInHouse&amp;" Years"</f>
        <v>Total Net Worth After 40 Years</v>
      </c>
      <c r="D55" s="52">
        <f>IF(SUM(D62:D65)&gt;0,"",SUM(D52:D54))</f>
        <v>2301291.098969264</v>
      </c>
      <c r="E55" s="90">
        <f>IF(SUM(E62:E65)&gt;0,"",SUM(E52:E54))</f>
        <v>2301291.098969264</v>
      </c>
      <c r="F55" s="57"/>
      <c r="G55" s="6"/>
      <c r="H55" s="6"/>
      <c r="I55" s="6"/>
      <c r="J55" s="6"/>
      <c r="K55" s="6"/>
      <c r="L55" s="6"/>
      <c r="M55" s="6"/>
    </row>
    <row r="56" spans="2:13" s="7" customFormat="1" ht="13.5" thickBot="1">
      <c r="B56" s="70"/>
      <c r="C56" s="92"/>
      <c r="D56" s="71"/>
      <c r="E56" s="72"/>
      <c r="F56" s="73"/>
      <c r="G56" s="6"/>
      <c r="H56" s="6"/>
      <c r="I56" s="6"/>
      <c r="J56" s="6"/>
      <c r="K56" s="6"/>
      <c r="L56" s="6"/>
      <c r="M56" s="6"/>
    </row>
    <row r="60" spans="3:5" ht="12.75">
      <c r="C60" s="18" t="s">
        <v>56</v>
      </c>
      <c r="D60" s="28"/>
      <c r="E60" s="29"/>
    </row>
    <row r="61" spans="3:5" ht="12.75">
      <c r="C61" s="18"/>
      <c r="D61" s="24" t="s">
        <v>53</v>
      </c>
      <c r="E61" s="19" t="s">
        <v>53</v>
      </c>
    </row>
    <row r="62" spans="3:5" ht="12.75">
      <c r="C62" s="26" t="s">
        <v>92</v>
      </c>
      <c r="D62" s="22">
        <f>IF(D21&lt;MAX(D24,D25),1,0)</f>
        <v>0</v>
      </c>
      <c r="E62" s="25">
        <f>IF(E21&lt;MAX(E24,E25),1,0)</f>
        <v>0</v>
      </c>
    </row>
    <row r="63" spans="3:5" ht="12.75">
      <c r="C63" s="26" t="s">
        <v>54</v>
      </c>
      <c r="D63" s="22">
        <f>IF(D21&lt;D24,1,0)</f>
        <v>0</v>
      </c>
      <c r="E63" s="25">
        <v>0</v>
      </c>
    </row>
    <row r="64" spans="3:5" ht="12.75">
      <c r="C64" s="26" t="s">
        <v>55</v>
      </c>
      <c r="D64" s="22">
        <f>IF(ISNUMBER(D27)=FALSE,1,0)</f>
        <v>0</v>
      </c>
      <c r="E64" s="25">
        <f>IF(ISNUMBER(E27)=FALSE,1,0)</f>
        <v>0</v>
      </c>
    </row>
    <row r="65" spans="3:5" ht="12.75">
      <c r="C65" s="20"/>
      <c r="D65" s="27"/>
      <c r="E65" s="21"/>
    </row>
    <row r="66" spans="4:5" ht="12.75">
      <c r="D66" s="23"/>
      <c r="E66" s="23"/>
    </row>
    <row r="67" spans="3:4" s="1" customFormat="1" ht="12.75">
      <c r="C67" s="121" t="s">
        <v>100</v>
      </c>
      <c r="D67" s="123"/>
    </row>
    <row r="68" spans="3:5" s="1" customFormat="1" ht="12.75">
      <c r="C68" s="121" t="str">
        <f>"You live in an apartment for "&amp;LiveInApt&amp;" years, investing $"&amp;Saveing&amp;" a month.  You then purchase"</f>
        <v>You live in an apartment for 5 years, investing $700 a month.  You then purchase</v>
      </c>
      <c r="D68" s="125" t="str">
        <f>"You move into a house costing $"&amp;House&amp;", using all your savings to pay the down"</f>
        <v>You move into a house costing $120000, using all your savings to pay the down</v>
      </c>
      <c r="E68" s="1" t="s">
        <v>4</v>
      </c>
    </row>
    <row r="69" spans="3:5" s="1" customFormat="1" ht="12.75">
      <c r="C69" s="126" t="str">
        <f>"a house costing $"&amp;House&amp;", using all your savings to pay the down payment."</f>
        <v>a house costing $120000, using all your savings to pay the down payment.</v>
      </c>
      <c r="D69" s="127" t="str">
        <f>"payment.  Each Month you put all your money into the mortgage, investing"</f>
        <v>payment.  Each Month you put all your money into the mortgage, investing</v>
      </c>
      <c r="E69" s="1" t="s">
        <v>4</v>
      </c>
    </row>
    <row r="70" spans="3:5" s="1" customFormat="1" ht="12.75">
      <c r="C70" s="126" t="str">
        <f>"Each month you put all your money into the mortgage, investing nothing.  After"</f>
        <v>Each month you put all your money into the mortgage, investing nothing.  After</v>
      </c>
      <c r="D70" s="127" t="s">
        <v>104</v>
      </c>
      <c r="E70" s="1" t="s">
        <v>4</v>
      </c>
    </row>
    <row r="71" spans="3:5" s="1" customFormat="1" ht="12.75">
      <c r="C71" s="126" t="str">
        <f>"you own the house, you then put the amount you were paying to your mortgage"</f>
        <v>you own the house, you then put the amount you were paying to your mortgage</v>
      </c>
      <c r="D71" s="128" t="s">
        <v>103</v>
      </c>
      <c r="E71" s="1" t="s">
        <v>4</v>
      </c>
    </row>
    <row r="72" spans="3:4" s="1" customFormat="1" ht="12.75">
      <c r="C72" s="128" t="s">
        <v>105</v>
      </c>
      <c r="D72" s="130"/>
    </row>
    <row r="73" s="1" customFormat="1" 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C2:F30"/>
  <sheetViews>
    <sheetView workbookViewId="0" topLeftCell="A1">
      <selection activeCell="O6" sqref="O6"/>
    </sheetView>
  </sheetViews>
  <sheetFormatPr defaultColWidth="9.140625" defaultRowHeight="12.75"/>
  <cols>
    <col min="1" max="2" width="3.140625" style="0" customWidth="1"/>
    <col min="13" max="13" width="6.28125" style="0" customWidth="1"/>
    <col min="14" max="14" width="3.00390625" style="0" customWidth="1"/>
  </cols>
  <sheetData>
    <row r="2" ht="12.75">
      <c r="D2" t="s">
        <v>83</v>
      </c>
    </row>
    <row r="3" spans="5:6" ht="12.75">
      <c r="E3" t="b">
        <v>0</v>
      </c>
      <c r="F3" t="b">
        <v>1</v>
      </c>
    </row>
    <row r="4" spans="3:6" ht="12.75">
      <c r="C4">
        <v>-150000</v>
      </c>
      <c r="D4">
        <f>IF(House+C4&lt;0,0,House+C4)</f>
        <v>0</v>
      </c>
      <c r="E4" s="15">
        <f aca="true" t="shared" si="0" ref="E4:F19">GetHouseMinPayMonthlyMortgage($C4,E$3)+House-House</f>
        <v>0</v>
      </c>
      <c r="F4" s="15">
        <f t="shared" si="0"/>
        <v>0</v>
      </c>
    </row>
    <row r="5" spans="3:6" ht="12.75">
      <c r="C5">
        <v>-100000</v>
      </c>
      <c r="D5">
        <f aca="true" t="shared" si="1" ref="D5:D30">IF(House+C5&lt;0,0,House+C5)</f>
        <v>20000</v>
      </c>
      <c r="E5" s="15">
        <f t="shared" si="0"/>
        <v>0</v>
      </c>
      <c r="F5" s="15">
        <f t="shared" si="0"/>
        <v>138.29343836387852</v>
      </c>
    </row>
    <row r="6" spans="3:6" ht="12.75">
      <c r="C6">
        <v>-70000</v>
      </c>
      <c r="D6">
        <f t="shared" si="1"/>
        <v>50000</v>
      </c>
      <c r="E6" s="15">
        <f t="shared" si="0"/>
        <v>201.71646987304848</v>
      </c>
      <c r="F6" s="15">
        <f t="shared" si="0"/>
        <v>345.65859590971377</v>
      </c>
    </row>
    <row r="7" spans="3:6" ht="12.75">
      <c r="C7">
        <v>-50000</v>
      </c>
      <c r="D7">
        <f t="shared" si="1"/>
        <v>70000</v>
      </c>
      <c r="E7" s="15">
        <f t="shared" si="0"/>
        <v>339.95990823693865</v>
      </c>
      <c r="F7" s="15">
        <f t="shared" si="0"/>
        <v>483.90203427360393</v>
      </c>
    </row>
    <row r="8" spans="3:6" ht="12.75">
      <c r="C8">
        <v>-40000</v>
      </c>
      <c r="D8">
        <f t="shared" si="1"/>
        <v>80000</v>
      </c>
      <c r="E8" s="15">
        <f t="shared" si="0"/>
        <v>409.0816274188837</v>
      </c>
      <c r="F8" s="15">
        <f t="shared" si="0"/>
        <v>553.0237534555345</v>
      </c>
    </row>
    <row r="9" spans="3:6" ht="12.75">
      <c r="C9">
        <v>-30000</v>
      </c>
      <c r="D9">
        <f t="shared" si="1"/>
        <v>90000</v>
      </c>
      <c r="E9" s="15">
        <f t="shared" si="0"/>
        <v>478.20334660081426</v>
      </c>
      <c r="F9" s="15">
        <f t="shared" si="0"/>
        <v>622.1454726374795</v>
      </c>
    </row>
    <row r="10" spans="3:6" ht="12.75">
      <c r="C10">
        <v>-20000</v>
      </c>
      <c r="D10">
        <f t="shared" si="1"/>
        <v>100000</v>
      </c>
      <c r="E10" s="15">
        <f t="shared" si="0"/>
        <v>547.3250657827593</v>
      </c>
      <c r="F10" s="15">
        <f t="shared" si="0"/>
        <v>691.2671918194246</v>
      </c>
    </row>
    <row r="11" spans="3:6" ht="12.75">
      <c r="C11">
        <v>-15000</v>
      </c>
      <c r="D11">
        <f t="shared" si="1"/>
        <v>105000</v>
      </c>
      <c r="E11" s="15">
        <f t="shared" si="0"/>
        <v>581.8859253737319</v>
      </c>
      <c r="F11" s="15">
        <f t="shared" si="0"/>
        <v>725.8280514103972</v>
      </c>
    </row>
    <row r="12" spans="3:6" ht="12.75">
      <c r="C12">
        <v>-10000</v>
      </c>
      <c r="D12">
        <f t="shared" si="1"/>
        <v>110000</v>
      </c>
      <c r="E12" s="15">
        <f t="shared" si="0"/>
        <v>616.4467849647044</v>
      </c>
      <c r="F12" s="15">
        <f t="shared" si="0"/>
        <v>760.3889110013697</v>
      </c>
    </row>
    <row r="13" spans="3:6" ht="12.75">
      <c r="C13">
        <v>-6000</v>
      </c>
      <c r="D13">
        <f t="shared" si="1"/>
        <v>114000</v>
      </c>
      <c r="E13" s="15">
        <f t="shared" si="0"/>
        <v>644.0954726374766</v>
      </c>
      <c r="F13" s="15">
        <f t="shared" si="0"/>
        <v>788.0375986741419</v>
      </c>
    </row>
    <row r="14" spans="3:6" ht="12.75">
      <c r="C14">
        <v>-4000</v>
      </c>
      <c r="D14">
        <f t="shared" si="1"/>
        <v>116000</v>
      </c>
      <c r="E14" s="15">
        <f t="shared" si="0"/>
        <v>657.9198164738773</v>
      </c>
      <c r="F14" s="15">
        <f t="shared" si="0"/>
        <v>801.861942510528</v>
      </c>
    </row>
    <row r="15" spans="3:6" ht="12.75">
      <c r="C15">
        <v>-2000</v>
      </c>
      <c r="D15">
        <f t="shared" si="1"/>
        <v>118000</v>
      </c>
      <c r="E15" s="15">
        <f t="shared" si="0"/>
        <v>671.7441603102634</v>
      </c>
      <c r="F15" s="15">
        <f t="shared" si="0"/>
        <v>815.6862863469287</v>
      </c>
    </row>
    <row r="16" spans="3:6" ht="12.75">
      <c r="C16">
        <v>-1000</v>
      </c>
      <c r="D16">
        <f t="shared" si="1"/>
        <v>119000</v>
      </c>
      <c r="E16" s="15">
        <f t="shared" si="0"/>
        <v>678.6563322284492</v>
      </c>
      <c r="F16" s="15">
        <f t="shared" si="0"/>
        <v>822.5984582651145</v>
      </c>
    </row>
    <row r="17" spans="3:6" ht="12.75">
      <c r="C17">
        <v>0</v>
      </c>
      <c r="D17">
        <f t="shared" si="1"/>
        <v>120000</v>
      </c>
      <c r="E17" s="15">
        <f>GetHouseMinPayMonthlyMortgage($C17,E$3)+House-House</f>
        <v>685.5685041466495</v>
      </c>
      <c r="F17" s="15">
        <f>GetHouseMinPayMonthlyMortgage($C17,F$3)+House-House</f>
        <v>829.5106301833148</v>
      </c>
    </row>
    <row r="18" spans="3:6" ht="12.75">
      <c r="C18">
        <v>1000</v>
      </c>
      <c r="D18">
        <f t="shared" si="1"/>
        <v>121000</v>
      </c>
      <c r="E18" s="15">
        <f t="shared" si="0"/>
        <v>692.4806760648498</v>
      </c>
      <c r="F18" s="15">
        <f t="shared" si="0"/>
        <v>836.4228021015006</v>
      </c>
    </row>
    <row r="19" spans="3:6" ht="12.75">
      <c r="C19">
        <v>2000</v>
      </c>
      <c r="D19">
        <f t="shared" si="1"/>
        <v>122000</v>
      </c>
      <c r="E19" s="15">
        <f t="shared" si="0"/>
        <v>699.3928479830356</v>
      </c>
      <c r="F19" s="15">
        <f t="shared" si="0"/>
        <v>843.3349740197009</v>
      </c>
    </row>
    <row r="20" spans="3:6" ht="12.75">
      <c r="C20">
        <v>4000</v>
      </c>
      <c r="D20">
        <f t="shared" si="1"/>
        <v>124000</v>
      </c>
      <c r="E20" s="15">
        <f aca="true" t="shared" si="2" ref="E20:F30">GetHouseMinPayMonthlyMortgage($C20,E$3)+House-House</f>
        <v>713.2171918194217</v>
      </c>
      <c r="F20" s="15">
        <f t="shared" si="2"/>
        <v>857.159317856087</v>
      </c>
    </row>
    <row r="21" spans="3:6" ht="12.75">
      <c r="C21">
        <v>6000</v>
      </c>
      <c r="D21">
        <f t="shared" si="1"/>
        <v>126000</v>
      </c>
      <c r="E21" s="15">
        <f t="shared" si="2"/>
        <v>727.0415356558078</v>
      </c>
      <c r="F21" s="15">
        <f t="shared" si="2"/>
        <v>870.9836616924731</v>
      </c>
    </row>
    <row r="22" spans="3:6" ht="12.75">
      <c r="C22">
        <v>10000</v>
      </c>
      <c r="D22">
        <f t="shared" si="1"/>
        <v>130000</v>
      </c>
      <c r="E22" s="15">
        <f t="shared" si="2"/>
        <v>754.6902233285946</v>
      </c>
      <c r="F22" s="15">
        <f t="shared" si="2"/>
        <v>898.6323493652599</v>
      </c>
    </row>
    <row r="23" spans="3:6" ht="12.75">
      <c r="C23">
        <v>15000</v>
      </c>
      <c r="D23">
        <f t="shared" si="1"/>
        <v>135000</v>
      </c>
      <c r="E23" s="15">
        <f t="shared" si="2"/>
        <v>789.2510829195671</v>
      </c>
      <c r="F23" s="15">
        <f t="shared" si="2"/>
        <v>933.1932089562179</v>
      </c>
    </row>
    <row r="24" spans="3:6" ht="12.75">
      <c r="C24">
        <v>20000</v>
      </c>
      <c r="D24">
        <f t="shared" si="1"/>
        <v>140000</v>
      </c>
      <c r="E24" s="15">
        <f t="shared" si="2"/>
        <v>823.8119425105397</v>
      </c>
      <c r="F24" s="15">
        <f t="shared" si="2"/>
        <v>967.7540685471904</v>
      </c>
    </row>
    <row r="25" spans="3:6" ht="12.75">
      <c r="C25">
        <v>30000</v>
      </c>
      <c r="D25">
        <f t="shared" si="1"/>
        <v>150000</v>
      </c>
      <c r="E25" s="15">
        <f t="shared" si="2"/>
        <v>892.9336616924702</v>
      </c>
      <c r="F25" s="15">
        <f t="shared" si="2"/>
        <v>1036.8757877291355</v>
      </c>
    </row>
    <row r="26" spans="3:6" ht="12.75">
      <c r="C26">
        <v>40000</v>
      </c>
      <c r="D26">
        <f t="shared" si="1"/>
        <v>160000</v>
      </c>
      <c r="E26" s="15">
        <f t="shared" si="2"/>
        <v>962.0553808744153</v>
      </c>
      <c r="F26" s="15">
        <f t="shared" si="2"/>
        <v>1105.9975069110806</v>
      </c>
    </row>
    <row r="27" spans="3:6" ht="12.75">
      <c r="C27">
        <v>50000</v>
      </c>
      <c r="D27">
        <f t="shared" si="1"/>
        <v>170000</v>
      </c>
      <c r="E27" s="15">
        <f t="shared" si="2"/>
        <v>1031.1771000563604</v>
      </c>
      <c r="F27" s="15">
        <f t="shared" si="2"/>
        <v>1175.1192260930256</v>
      </c>
    </row>
    <row r="28" spans="3:6" ht="12.75">
      <c r="C28">
        <v>70000</v>
      </c>
      <c r="D28">
        <f t="shared" si="1"/>
        <v>190000</v>
      </c>
      <c r="E28" s="15">
        <f t="shared" si="2"/>
        <v>1169.4205384202505</v>
      </c>
      <c r="F28" s="15">
        <f t="shared" si="2"/>
        <v>1313.3626644569158</v>
      </c>
    </row>
    <row r="29" spans="3:6" ht="12.75">
      <c r="C29">
        <v>100000</v>
      </c>
      <c r="D29">
        <f t="shared" si="1"/>
        <v>220000</v>
      </c>
      <c r="E29" s="15">
        <f t="shared" si="2"/>
        <v>1376.7856959660712</v>
      </c>
      <c r="F29" s="15">
        <f t="shared" si="2"/>
        <v>1520.7278220027365</v>
      </c>
    </row>
    <row r="30" spans="3:6" ht="12.75">
      <c r="C30">
        <v>150000</v>
      </c>
      <c r="D30">
        <f t="shared" si="1"/>
        <v>270000</v>
      </c>
      <c r="E30" s="15">
        <f t="shared" si="2"/>
        <v>1722.394291875782</v>
      </c>
      <c r="F30" s="15">
        <f t="shared" si="2"/>
        <v>1866.3364179124474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BeyondNow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BeyondNow Technologies</dc:creator>
  <cp:keywords/>
  <dc:description/>
  <cp:lastModifiedBy>Chris</cp:lastModifiedBy>
  <cp:lastPrinted>2001-03-14T19:23:41Z</cp:lastPrinted>
  <dcterms:created xsi:type="dcterms:W3CDTF">2001-03-14T17:35:18Z</dcterms:created>
  <dcterms:modified xsi:type="dcterms:W3CDTF">2007-06-03T19:11:57Z</dcterms:modified>
  <cp:category/>
  <cp:version/>
  <cp:contentType/>
  <cp:contentStatus/>
</cp:coreProperties>
</file>